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480" yWindow="6705" windowWidth="5955" windowHeight="1170" tabRatio="970" activeTab="11"/>
  </bookViews>
  <sheets>
    <sheet name="2016" sheetId="1" r:id="rId1"/>
    <sheet name="Monthly Accounts" sheetId="20" r:id="rId2"/>
    <sheet name="Monthly Cash" sheetId="21" r:id="rId3"/>
    <sheet name="PREMAC Accounts" sheetId="16" r:id="rId4"/>
    <sheet name="MARCH '15" sheetId="37" r:id="rId5"/>
    <sheet name="APRIL '15" sheetId="38" r:id="rId6"/>
    <sheet name="MAY '15" sheetId="39" r:id="rId7"/>
    <sheet name="JUNE '15" sheetId="28" r:id="rId8"/>
    <sheet name="JULY '15" sheetId="29" r:id="rId9"/>
    <sheet name="AUGUST '15" sheetId="30" r:id="rId10"/>
    <sheet name="SEPTEMBER '15" sheetId="31" r:id="rId11"/>
    <sheet name="OCTOBER '15" sheetId="32" r:id="rId12"/>
    <sheet name="NOVEMBER '15" sheetId="33" r:id="rId13"/>
    <sheet name="DECEMBER '15" sheetId="34" r:id="rId14"/>
    <sheet name="JANUARY '16" sheetId="35" r:id="rId15"/>
    <sheet name="FEBRUARY '16" sheetId="36" r:id="rId16"/>
  </sheets>
  <externalReferences>
    <externalReference r:id="rId17"/>
  </externalReferences>
  <definedNames>
    <definedName name="_xlnm.Print_Area" localSheetId="0">'2016'!$A$21:$G$29</definedName>
    <definedName name="_xlnm.Print_Area" localSheetId="5">'APRIL ''15'!$A$1:$L$29</definedName>
    <definedName name="_xlnm.Print_Area" localSheetId="9">'AUGUST ''15'!$A$1:$K$42</definedName>
    <definedName name="_xlnm.Print_Area" localSheetId="13">'DECEMBER ''15'!$A$1:$L$36</definedName>
    <definedName name="_xlnm.Print_Area" localSheetId="15">'FEBRUARY ''16'!$A$1:$L$32</definedName>
    <definedName name="_xlnm.Print_Area" localSheetId="14">'JANUARY ''16'!$A$1:$L$23</definedName>
    <definedName name="_xlnm.Print_Area" localSheetId="8">'JULY ''15'!$A$1:$K$44</definedName>
    <definedName name="_xlnm.Print_Area" localSheetId="7">'JUNE ''15'!$A$1:$K$28</definedName>
    <definedName name="_xlnm.Print_Area" localSheetId="4">'MARCH ''15'!$A$1:$K$38</definedName>
    <definedName name="_xlnm.Print_Area" localSheetId="6">'MAY ''15'!$A$1:$L$29</definedName>
    <definedName name="_xlnm.Print_Area" localSheetId="12">'NOVEMBER ''15'!$A$1:$K$49</definedName>
    <definedName name="_xlnm.Print_Area" localSheetId="11">'OCTOBER ''15'!$A$1:$K$71</definedName>
    <definedName name="_xlnm.Print_Area" localSheetId="3">'PREMAC Accounts'!$A$1:$N$68</definedName>
    <definedName name="_xlnm.Print_Area" localSheetId="10">'SEPTEMBER ''15'!$A$1:$M$50</definedName>
    <definedName name="_xlnm.Print_Titles" localSheetId="5">'APRIL ''15'!$1:$4</definedName>
    <definedName name="_xlnm.Print_Titles" localSheetId="9">'AUGUST ''15'!$1:$4</definedName>
    <definedName name="_xlnm.Print_Titles" localSheetId="13">'DECEMBER ''15'!$1:$4</definedName>
    <definedName name="_xlnm.Print_Titles" localSheetId="15">'FEBRUARY ''16'!$1:$4</definedName>
    <definedName name="_xlnm.Print_Titles" localSheetId="14">'JANUARY ''16'!$1:$4</definedName>
    <definedName name="_xlnm.Print_Titles" localSheetId="8">'JULY ''15'!$1:$4</definedName>
    <definedName name="_xlnm.Print_Titles" localSheetId="7">'JUNE ''15'!$1:$4</definedName>
    <definedName name="_xlnm.Print_Titles" localSheetId="4">'MARCH ''15'!$1:$4</definedName>
    <definedName name="_xlnm.Print_Titles" localSheetId="6">'MAY ''15'!$1:$4</definedName>
    <definedName name="_xlnm.Print_Titles" localSheetId="12">'NOVEMBER ''15'!$1:$4</definedName>
    <definedName name="_xlnm.Print_Titles" localSheetId="11">'OCTOBER ''15'!$1:$4</definedName>
    <definedName name="_xlnm.Print_Titles" localSheetId="10">'SEPTEMBER ''15'!$1:$4</definedName>
  </definedNames>
  <calcPr calcId="145621"/>
</workbook>
</file>

<file path=xl/calcChain.xml><?xml version="1.0" encoding="utf-8"?>
<calcChain xmlns="http://schemas.openxmlformats.org/spreadsheetml/2006/main">
  <c r="I21" i="35" l="1"/>
  <c r="H10" i="36" l="1"/>
  <c r="H11" i="36"/>
  <c r="H12" i="36"/>
  <c r="H13" i="36"/>
  <c r="H14" i="36"/>
  <c r="H15" i="36"/>
  <c r="H16" i="36"/>
  <c r="H17" i="36"/>
  <c r="H18" i="36"/>
  <c r="H19" i="36"/>
  <c r="H20" i="36"/>
  <c r="H21" i="36"/>
  <c r="H22" i="36"/>
  <c r="H23" i="36"/>
  <c r="H24" i="36"/>
  <c r="H25" i="36"/>
  <c r="H26" i="36"/>
  <c r="H27" i="36"/>
  <c r="H28" i="36"/>
  <c r="H29" i="36"/>
  <c r="I5" i="36"/>
  <c r="I18" i="35"/>
  <c r="H9" i="36"/>
  <c r="H8" i="36"/>
  <c r="H7" i="36"/>
  <c r="H6" i="36"/>
  <c r="H5" i="36"/>
  <c r="H6" i="35"/>
  <c r="H7" i="35"/>
  <c r="H8" i="35"/>
  <c r="H9" i="35"/>
  <c r="H10" i="35"/>
  <c r="H11" i="35"/>
  <c r="H12" i="35"/>
  <c r="H13" i="35"/>
  <c r="H14" i="35"/>
  <c r="H15" i="35"/>
  <c r="H16" i="35"/>
  <c r="H17" i="35"/>
  <c r="H18" i="35"/>
  <c r="H19" i="35"/>
  <c r="H20" i="35"/>
  <c r="H5" i="35"/>
  <c r="H7" i="34"/>
  <c r="H8" i="34"/>
  <c r="H9" i="34"/>
  <c r="H10" i="34"/>
  <c r="H11" i="34"/>
  <c r="H12" i="34"/>
  <c r="H13" i="34"/>
  <c r="H14" i="34"/>
  <c r="H15" i="34"/>
  <c r="H16" i="34"/>
  <c r="H17" i="34"/>
  <c r="H18" i="34"/>
  <c r="H19" i="34"/>
  <c r="H20" i="34"/>
  <c r="H21" i="34"/>
  <c r="H22" i="34"/>
  <c r="H23" i="34"/>
  <c r="H24" i="34"/>
  <c r="H25" i="34"/>
  <c r="H26" i="34"/>
  <c r="H27" i="34"/>
  <c r="H28" i="34"/>
  <c r="H29" i="34"/>
  <c r="H30" i="34"/>
  <c r="H31" i="34"/>
  <c r="H32" i="34"/>
  <c r="H33" i="34"/>
  <c r="H6" i="34"/>
  <c r="L51" i="33" l="1"/>
  <c r="L50" i="33"/>
  <c r="G29" i="1" l="1"/>
  <c r="F29" i="1"/>
  <c r="G24" i="1"/>
  <c r="G25" i="1"/>
  <c r="G26" i="1"/>
  <c r="G27" i="1"/>
  <c r="G28" i="1"/>
  <c r="G23" i="1"/>
  <c r="G22" i="1"/>
  <c r="F23" i="1"/>
  <c r="F24" i="1"/>
  <c r="F25" i="1"/>
  <c r="F26" i="1"/>
  <c r="F27" i="1"/>
  <c r="F28" i="1"/>
  <c r="F22" i="1"/>
  <c r="E29" i="1"/>
  <c r="D29" i="1"/>
  <c r="E23" i="1"/>
  <c r="E22" i="1"/>
  <c r="H14" i="1" l="1"/>
  <c r="H13" i="1"/>
  <c r="H12" i="1"/>
  <c r="G14" i="1"/>
  <c r="G13" i="1"/>
  <c r="G12" i="1"/>
  <c r="F14" i="1"/>
  <c r="F13" i="1"/>
  <c r="F12" i="1"/>
  <c r="E14" i="1"/>
  <c r="E13" i="1"/>
  <c r="E12" i="1"/>
  <c r="D14" i="1"/>
  <c r="D13" i="1"/>
  <c r="D12" i="1"/>
  <c r="D55" i="36" l="1"/>
  <c r="I28" i="36" l="1"/>
  <c r="I24" i="36"/>
  <c r="D57" i="36" l="1"/>
  <c r="D30" i="36" l="1"/>
  <c r="E16" i="1" s="1"/>
  <c r="I55" i="36" l="1"/>
  <c r="K55" i="36" l="1"/>
  <c r="E55" i="36" l="1"/>
  <c r="H48" i="32" l="1"/>
  <c r="G30" i="36"/>
  <c r="H16" i="1" s="1"/>
  <c r="F30" i="36"/>
  <c r="G16" i="1" s="1"/>
  <c r="C30" i="36"/>
  <c r="D16" i="1" s="1"/>
  <c r="E30" i="36"/>
  <c r="F16" i="1" s="1"/>
  <c r="I21" i="36" l="1"/>
  <c r="G55" i="36" l="1"/>
  <c r="I20" i="36"/>
  <c r="I18" i="36" l="1"/>
  <c r="I16" i="36" l="1"/>
  <c r="I14" i="36" l="1"/>
  <c r="I30" i="36" s="1"/>
  <c r="P44" i="32" l="1"/>
  <c r="I20" i="35" l="1"/>
  <c r="F42" i="35"/>
  <c r="F44" i="35" s="1"/>
  <c r="I16" i="35" l="1"/>
  <c r="Q27" i="31" l="1"/>
  <c r="E42" i="35"/>
  <c r="I14" i="35" l="1"/>
  <c r="I12" i="35" l="1"/>
  <c r="I9" i="35" l="1"/>
  <c r="I7" i="35" l="1"/>
  <c r="I5" i="35" l="1"/>
  <c r="P32" i="33" l="1"/>
  <c r="I29" i="34" l="1"/>
  <c r="I28" i="34" l="1"/>
  <c r="I27" i="34" l="1"/>
  <c r="I26" i="34"/>
  <c r="I25" i="34" l="1"/>
  <c r="I23" i="34" l="1"/>
  <c r="I5" i="34" l="1"/>
  <c r="I18" i="34" l="1"/>
  <c r="E52" i="34" l="1"/>
  <c r="E54" i="34" s="1"/>
  <c r="O26" i="32" l="1"/>
  <c r="H47" i="33" l="1"/>
  <c r="H45" i="33" l="1"/>
  <c r="H44" i="33" l="1"/>
  <c r="H40" i="33" l="1"/>
  <c r="E70" i="33"/>
  <c r="E72" i="33" s="1"/>
  <c r="H39" i="33"/>
  <c r="H36" i="33" l="1"/>
  <c r="H34" i="33" l="1"/>
  <c r="H30" i="33" l="1"/>
  <c r="H70" i="33" l="1"/>
  <c r="H25" i="33" l="1"/>
  <c r="H23" i="33" l="1"/>
  <c r="H15" i="33" l="1"/>
  <c r="L48" i="33" l="1"/>
  <c r="H13" i="33" l="1"/>
  <c r="H12" i="33" l="1"/>
  <c r="H11" i="33" l="1"/>
  <c r="H10" i="33"/>
  <c r="H9" i="33" l="1"/>
  <c r="H65" i="32" l="1"/>
  <c r="H5" i="33" l="1"/>
  <c r="H48" i="33" s="1"/>
  <c r="H57" i="32" l="1"/>
  <c r="G94" i="32" l="1"/>
  <c r="E94" i="32"/>
  <c r="D94" i="32" l="1"/>
  <c r="H54" i="32"/>
  <c r="H53" i="32" l="1"/>
  <c r="H46" i="32" l="1"/>
  <c r="H7" i="31" l="1"/>
  <c r="H6" i="31"/>
  <c r="H8" i="31"/>
  <c r="H9" i="31"/>
  <c r="H10" i="31"/>
  <c r="H11" i="31"/>
  <c r="H12" i="31"/>
  <c r="H13" i="31"/>
  <c r="H14" i="31"/>
  <c r="H15" i="31"/>
  <c r="H16" i="31"/>
  <c r="H17" i="31"/>
  <c r="H18" i="31"/>
  <c r="H19" i="31"/>
  <c r="H20" i="31"/>
  <c r="H21" i="31"/>
  <c r="H22" i="31"/>
  <c r="H23" i="31"/>
  <c r="H24" i="31"/>
  <c r="H25" i="31"/>
  <c r="H26" i="31"/>
  <c r="H27" i="31"/>
  <c r="H28" i="31"/>
  <c r="H29" i="31"/>
  <c r="H30" i="31"/>
  <c r="H31" i="31"/>
  <c r="H32" i="31"/>
  <c r="H33" i="31"/>
  <c r="H34" i="31"/>
  <c r="H35" i="31"/>
  <c r="H36" i="31"/>
  <c r="H37" i="31"/>
  <c r="H38" i="31"/>
  <c r="H39" i="31"/>
  <c r="H40" i="31"/>
  <c r="H41" i="31"/>
  <c r="H42" i="31"/>
  <c r="H43" i="31"/>
  <c r="H44" i="31"/>
  <c r="H45" i="31"/>
  <c r="H46" i="31"/>
  <c r="H47" i="31"/>
  <c r="H5" i="31"/>
  <c r="L54" i="31"/>
  <c r="L55" i="31" s="1"/>
  <c r="L52" i="31"/>
  <c r="J52" i="31"/>
  <c r="J51" i="31"/>
  <c r="H43" i="32" l="1"/>
  <c r="H42" i="32" l="1"/>
  <c r="H39" i="32" l="1"/>
  <c r="Q39" i="31" l="1"/>
  <c r="H36" i="32" l="1"/>
  <c r="H35" i="32" l="1"/>
  <c r="H33" i="32" l="1"/>
  <c r="H32" i="32" l="1"/>
  <c r="H31" i="32"/>
  <c r="H29" i="32" l="1"/>
  <c r="P43" i="31" l="1"/>
  <c r="C70" i="32" l="1"/>
  <c r="D70" i="32"/>
  <c r="E70" i="32"/>
  <c r="F70" i="32"/>
  <c r="G70" i="32"/>
  <c r="L71" i="32" l="1"/>
  <c r="H26" i="32"/>
  <c r="L70" i="32" l="1"/>
  <c r="H18" i="32" l="1"/>
  <c r="K94" i="32" l="1"/>
  <c r="H11" i="32" l="1"/>
  <c r="H7" i="32" l="1"/>
  <c r="H5" i="32" l="1"/>
  <c r="H70" i="32" s="1"/>
  <c r="O10" i="30"/>
  <c r="I5" i="31" l="1"/>
  <c r="I39" i="31" l="1"/>
  <c r="I41" i="31"/>
  <c r="E48" i="31"/>
  <c r="I33" i="31" l="1"/>
  <c r="I38" i="31"/>
  <c r="I32" i="31" l="1"/>
  <c r="I30" i="31" l="1"/>
  <c r="H10" i="1" l="1"/>
  <c r="H8" i="1"/>
  <c r="H7" i="1"/>
  <c r="H6" i="1"/>
  <c r="H5" i="1"/>
  <c r="G10" i="1"/>
  <c r="G8" i="1"/>
  <c r="G7" i="1"/>
  <c r="G6" i="1"/>
  <c r="G5" i="1"/>
  <c r="F8" i="1"/>
  <c r="F7" i="1"/>
  <c r="F6" i="1"/>
  <c r="F5" i="1"/>
  <c r="E10" i="1"/>
  <c r="E8" i="1"/>
  <c r="E7" i="1"/>
  <c r="E6" i="1"/>
  <c r="E5" i="1"/>
  <c r="D8" i="1"/>
  <c r="D7" i="1"/>
  <c r="D6" i="1"/>
  <c r="D5" i="1"/>
  <c r="I28" i="31"/>
  <c r="I27" i="31" l="1"/>
  <c r="I22" i="31" l="1"/>
  <c r="I19" i="31" l="1"/>
  <c r="I14" i="31" l="1"/>
  <c r="I10" i="31" l="1"/>
  <c r="F67" i="31" l="1"/>
  <c r="I9" i="31" l="1"/>
  <c r="O33" i="29" l="1"/>
  <c r="H40" i="30" l="1"/>
  <c r="H36" i="30" l="1"/>
  <c r="H33" i="30" l="1"/>
  <c r="H14" i="29" l="1"/>
  <c r="H29" i="30"/>
  <c r="H28" i="30" l="1"/>
  <c r="H27" i="30" l="1"/>
  <c r="H25" i="30" l="1"/>
  <c r="G63" i="30"/>
  <c r="H22" i="30" l="1"/>
  <c r="C63" i="30"/>
  <c r="H20" i="30" l="1"/>
  <c r="H16" i="30" l="1"/>
  <c r="H14" i="30" l="1"/>
  <c r="H13" i="30" l="1"/>
  <c r="H12" i="30" l="1"/>
  <c r="H11" i="30" l="1"/>
  <c r="H9" i="30" l="1"/>
  <c r="H5" i="30" l="1"/>
  <c r="H41" i="29" l="1"/>
  <c r="N52" i="28" l="1"/>
  <c r="H40" i="29" l="1"/>
  <c r="H34" i="29" l="1"/>
  <c r="D71" i="29" l="1"/>
  <c r="J71" i="29"/>
  <c r="H30" i="29" l="1"/>
  <c r="F71" i="29" l="1"/>
  <c r="H29" i="29"/>
  <c r="G71" i="29" l="1"/>
  <c r="H27" i="29"/>
  <c r="H25" i="29" l="1"/>
  <c r="E71" i="29" l="1"/>
  <c r="H9" i="29" l="1"/>
  <c r="H7" i="29" l="1"/>
  <c r="H6" i="29" l="1"/>
  <c r="H5" i="29" l="1"/>
  <c r="H43" i="29" s="1"/>
  <c r="L50" i="28" l="1"/>
  <c r="H24" i="28"/>
  <c r="H23" i="39" l="1"/>
  <c r="J50" i="28" l="1"/>
  <c r="H23" i="28"/>
  <c r="H50" i="28" l="1"/>
  <c r="H21" i="28"/>
  <c r="I50" i="28" l="1"/>
  <c r="H19" i="28" l="1"/>
  <c r="H13" i="28" l="1"/>
  <c r="H10" i="28" l="1"/>
  <c r="I30" i="39" l="1"/>
  <c r="H8" i="28" l="1"/>
  <c r="H7" i="28" l="1"/>
  <c r="H6" i="28" l="1"/>
  <c r="H5" i="28" l="1"/>
  <c r="H26" i="28" s="1"/>
  <c r="H26" i="39" l="1"/>
  <c r="H25" i="39" l="1"/>
  <c r="H22" i="39" l="1"/>
  <c r="H21" i="39" l="1"/>
  <c r="H20" i="39" l="1"/>
  <c r="G53" i="39" l="1"/>
  <c r="H18" i="39"/>
  <c r="H16" i="39" l="1"/>
  <c r="H12" i="39" l="1"/>
  <c r="H9" i="39" l="1"/>
  <c r="H7" i="39" l="1"/>
  <c r="H5" i="39" l="1"/>
  <c r="H23" i="38" l="1"/>
  <c r="O68" i="37" l="1"/>
  <c r="J50" i="38" l="1"/>
  <c r="H50" i="38"/>
  <c r="F50" i="38"/>
  <c r="D50" i="38"/>
  <c r="K40" i="37" l="1"/>
  <c r="K39" i="37" l="1"/>
  <c r="H22" i="38" l="1"/>
  <c r="H17" i="38" l="1"/>
  <c r="H15" i="38" l="1"/>
  <c r="H14" i="38" l="1"/>
  <c r="H11" i="38" l="1"/>
  <c r="M27" i="38" l="1"/>
  <c r="H9" i="38"/>
  <c r="H8" i="38" l="1"/>
  <c r="H7" i="38" l="1"/>
  <c r="H5" i="38" l="1"/>
  <c r="H36" i="37" l="1"/>
  <c r="H35" i="37" l="1"/>
  <c r="H30" i="37" l="1"/>
  <c r="K67" i="37" l="1"/>
  <c r="H67" i="37" l="1"/>
  <c r="H29" i="37"/>
  <c r="H28" i="37" l="1"/>
  <c r="H27" i="37" l="1"/>
  <c r="H25" i="37" l="1"/>
  <c r="E67" i="37" l="1"/>
  <c r="M67" i="37" l="1"/>
  <c r="H24" i="37"/>
  <c r="H23" i="37" l="1"/>
  <c r="H22" i="37" l="1"/>
  <c r="H20" i="37" l="1"/>
  <c r="H11" i="37" l="1"/>
  <c r="H10" i="37" l="1"/>
  <c r="H8" i="37" l="1"/>
  <c r="H5" i="37" l="1"/>
  <c r="F55" i="36" l="1"/>
  <c r="F57" i="36" s="1"/>
  <c r="L55" i="36" l="1"/>
  <c r="L57" i="36" s="1"/>
  <c r="N57" i="36" s="1"/>
  <c r="G42" i="35" l="1"/>
  <c r="G44" i="35" s="1"/>
  <c r="C42" i="35" l="1"/>
  <c r="C44" i="35" s="1"/>
  <c r="I42" i="35" l="1"/>
  <c r="I44" i="35" s="1"/>
  <c r="D52" i="34" l="1"/>
  <c r="D54" i="34" s="1"/>
  <c r="G34" i="34" l="1"/>
  <c r="F34" i="34"/>
  <c r="E34" i="34"/>
  <c r="D34" i="34"/>
  <c r="C34" i="34"/>
  <c r="I14" i="1" l="1"/>
  <c r="F52" i="34" l="1"/>
  <c r="F54" i="34" s="1"/>
  <c r="I52" i="34" l="1"/>
  <c r="I54" i="34" s="1"/>
  <c r="K54" i="34" s="1"/>
  <c r="I34" i="34" l="1"/>
  <c r="G52" i="34" l="1"/>
  <c r="G54" i="34" s="1"/>
  <c r="C70" i="33" l="1"/>
  <c r="C72" i="33" s="1"/>
  <c r="G70" i="33" l="1"/>
  <c r="D70" i="33" l="1"/>
  <c r="D72" i="33" s="1"/>
  <c r="H94" i="32" l="1"/>
  <c r="J94" i="32" l="1"/>
  <c r="C94" i="32" l="1"/>
  <c r="D67" i="31" l="1"/>
  <c r="E63" i="30" l="1"/>
  <c r="F63" i="30" l="1"/>
  <c r="G41" i="30"/>
  <c r="F41" i="30"/>
  <c r="E41" i="30"/>
  <c r="F10" i="1" s="1"/>
  <c r="D41" i="30"/>
  <c r="C41" i="30"/>
  <c r="D10" i="1" s="1"/>
  <c r="I10" i="1" l="1"/>
  <c r="H41" i="30" l="1"/>
  <c r="K71" i="29" l="1"/>
  <c r="F50" i="28" l="1"/>
  <c r="E50" i="28" l="1"/>
  <c r="K50" i="28" l="1"/>
  <c r="F53" i="39" l="1"/>
  <c r="D53" i="39" l="1"/>
  <c r="L28" i="39" l="1"/>
  <c r="G27" i="39" l="1"/>
  <c r="F27" i="39"/>
  <c r="E27" i="39"/>
  <c r="D27" i="39"/>
  <c r="C27" i="39"/>
  <c r="I29" i="39" s="1"/>
  <c r="I31" i="39" s="1"/>
  <c r="I7" i="1" l="1"/>
  <c r="C50" i="38" l="1"/>
  <c r="G27" i="38" l="1"/>
  <c r="F27" i="38"/>
  <c r="E27" i="38"/>
  <c r="D27" i="38"/>
  <c r="C27" i="38"/>
  <c r="I6" i="1" l="1"/>
  <c r="H27" i="38" l="1"/>
  <c r="C37" i="37" l="1"/>
  <c r="L67" i="37" l="1"/>
  <c r="F67" i="37" l="1"/>
  <c r="D67" i="37" l="1"/>
  <c r="J67" i="37"/>
  <c r="N67" i="37" l="1"/>
  <c r="I67" i="37"/>
  <c r="G67" i="37"/>
  <c r="C67" i="37"/>
  <c r="G37" i="37"/>
  <c r="F37" i="37"/>
  <c r="E37" i="37"/>
  <c r="D37" i="37"/>
  <c r="I5" i="1" l="1"/>
  <c r="H37" i="37"/>
  <c r="C38" i="37"/>
  <c r="O67" i="37"/>
  <c r="E38" i="37"/>
  <c r="I16" i="1" l="1"/>
  <c r="J52" i="34" l="1"/>
  <c r="J54" i="34" s="1"/>
  <c r="C52" i="34"/>
  <c r="K52" i="34" l="1"/>
  <c r="F94" i="32"/>
  <c r="I12" i="1" l="1"/>
  <c r="G67" i="31"/>
  <c r="H63" i="30" l="1"/>
  <c r="D63" i="30" l="1"/>
  <c r="G43" i="29" l="1"/>
  <c r="H9" i="1" s="1"/>
  <c r="F43" i="29"/>
  <c r="G9" i="1" s="1"/>
  <c r="E43" i="29"/>
  <c r="F9" i="1" s="1"/>
  <c r="C43" i="29"/>
  <c r="D9" i="1" s="1"/>
  <c r="D43" i="29"/>
  <c r="E9" i="1" s="1"/>
  <c r="I9" i="1" l="1"/>
  <c r="M50" i="28" l="1"/>
  <c r="G50" i="28"/>
  <c r="C50" i="28"/>
  <c r="D50" i="28"/>
  <c r="N50" i="28" l="1"/>
  <c r="H53" i="39" l="1"/>
  <c r="C53" i="39" l="1"/>
  <c r="K53" i="39" l="1"/>
  <c r="J53" i="39"/>
  <c r="I53" i="39"/>
  <c r="E53" i="39"/>
  <c r="G28" i="39" l="1"/>
  <c r="L53" i="39"/>
  <c r="C28" i="39"/>
  <c r="E28" i="39"/>
  <c r="H27" i="39"/>
  <c r="L27" i="39"/>
  <c r="G50" i="38" l="1"/>
  <c r="I50" i="38" l="1"/>
  <c r="E50" i="38" l="1"/>
  <c r="G28" i="38" l="1"/>
  <c r="C28" i="38"/>
  <c r="E28" i="38"/>
  <c r="K50" i="38"/>
  <c r="J55" i="36" l="1"/>
  <c r="N19" i="16" s="1"/>
  <c r="C55" i="36" l="1"/>
  <c r="N58" i="36" l="1"/>
  <c r="N59" i="36" s="1"/>
  <c r="G31" i="36"/>
  <c r="E31" i="36" l="1"/>
  <c r="C31" i="36"/>
  <c r="M30" i="36"/>
  <c r="M31" i="36" l="1"/>
  <c r="M55" i="36" l="1"/>
  <c r="N55" i="36" s="1"/>
  <c r="D42" i="35" l="1"/>
  <c r="N20" i="16" l="1"/>
  <c r="D44" i="35"/>
  <c r="K44" i="35" s="1"/>
  <c r="J42" i="35"/>
  <c r="J44" i="35" s="1"/>
  <c r="G21" i="35"/>
  <c r="H15" i="1" s="1"/>
  <c r="F21" i="35"/>
  <c r="G15" i="1" s="1"/>
  <c r="E21" i="35"/>
  <c r="F15" i="1" s="1"/>
  <c r="D21" i="35"/>
  <c r="E15" i="1" s="1"/>
  <c r="C21" i="35"/>
  <c r="D15" i="1" s="1"/>
  <c r="I15" i="1" l="1"/>
  <c r="K42" i="35"/>
  <c r="G22" i="35"/>
  <c r="C22" i="35"/>
  <c r="E22" i="35"/>
  <c r="M21" i="35"/>
  <c r="M22" i="35" l="1"/>
  <c r="G35" i="34" l="1"/>
  <c r="J14" i="1"/>
  <c r="K14" i="1" s="1"/>
  <c r="C35" i="34"/>
  <c r="M34" i="34"/>
  <c r="E35" i="34"/>
  <c r="M35" i="34" l="1"/>
  <c r="F70" i="33" l="1"/>
  <c r="F72" i="33" s="1"/>
  <c r="I70" i="33" l="1"/>
  <c r="G48" i="33"/>
  <c r="F48" i="33"/>
  <c r="E48" i="33"/>
  <c r="D48" i="33"/>
  <c r="C48" i="33"/>
  <c r="N27" i="16" l="1"/>
  <c r="I72" i="33"/>
  <c r="J72" i="33" s="1"/>
  <c r="I13" i="1"/>
  <c r="G49" i="33"/>
  <c r="E49" i="33"/>
  <c r="C49" i="33"/>
  <c r="K70" i="33"/>
  <c r="N21" i="16" l="1"/>
  <c r="I94" i="32" l="1"/>
  <c r="L94" i="32" s="1"/>
  <c r="G71" i="32" l="1"/>
  <c r="J12" i="1"/>
  <c r="K12" i="1" s="1"/>
  <c r="E71" i="32"/>
  <c r="C71" i="32"/>
  <c r="I48" i="31" l="1"/>
  <c r="I67" i="31"/>
  <c r="C67" i="31" l="1"/>
  <c r="F48" i="31" l="1"/>
  <c r="G11" i="1" s="1"/>
  <c r="E67" i="31"/>
  <c r="G48" i="31"/>
  <c r="H11" i="1" s="1"/>
  <c r="F11" i="1"/>
  <c r="D48" i="31"/>
  <c r="E11" i="1" s="1"/>
  <c r="C48" i="31"/>
  <c r="D11" i="1" s="1"/>
  <c r="I11" i="1" l="1"/>
  <c r="G49" i="31"/>
  <c r="C49" i="31"/>
  <c r="K67" i="31"/>
  <c r="E49" i="31"/>
  <c r="N22" i="16" l="1"/>
  <c r="I63" i="30" l="1"/>
  <c r="N25" i="16" s="1"/>
  <c r="N24" i="16" l="1"/>
  <c r="G42" i="30"/>
  <c r="L41" i="30"/>
  <c r="E42" i="30"/>
  <c r="K63" i="30"/>
  <c r="C42" i="30"/>
  <c r="J10" i="1" l="1"/>
  <c r="L42" i="30"/>
  <c r="I71" i="29"/>
  <c r="N23" i="16" s="1"/>
  <c r="K10" i="1" l="1"/>
  <c r="C71" i="29" l="1"/>
  <c r="H71" i="29"/>
  <c r="N26" i="16" l="1"/>
  <c r="F26" i="28" l="1"/>
  <c r="L71" i="29"/>
  <c r="G44" i="29" l="1"/>
  <c r="N71" i="29"/>
  <c r="E44" i="29"/>
  <c r="L43" i="29"/>
  <c r="C44" i="29"/>
  <c r="L44" i="29" l="1"/>
  <c r="G26" i="28" l="1"/>
  <c r="H17" i="1" s="1"/>
  <c r="H18" i="1" s="1"/>
  <c r="E26" i="28"/>
  <c r="D26" i="28"/>
  <c r="C26" i="28"/>
  <c r="I8" i="1" l="1"/>
  <c r="G27" i="28"/>
  <c r="E27" i="28"/>
  <c r="C27" i="28"/>
  <c r="J8" i="1" l="1"/>
  <c r="K8" i="1" s="1"/>
  <c r="J6" i="1" l="1"/>
  <c r="K6" i="1" s="1"/>
  <c r="F17" i="1" l="1"/>
  <c r="K29" i="16" l="1"/>
  <c r="N14" i="16" l="1"/>
  <c r="N7" i="16"/>
  <c r="N13" i="16"/>
  <c r="N15" i="16"/>
  <c r="N8" i="16" l="1"/>
  <c r="N9" i="16"/>
  <c r="C29" i="16"/>
  <c r="N6" i="16"/>
  <c r="F29" i="16"/>
  <c r="N5" i="16"/>
  <c r="M29" i="16"/>
  <c r="L29" i="16"/>
  <c r="N17" i="16"/>
  <c r="N10" i="16"/>
  <c r="N11" i="16"/>
  <c r="G17" i="1"/>
  <c r="J29" i="16"/>
  <c r="N4" i="16"/>
  <c r="N28" i="16"/>
  <c r="N16" i="16"/>
  <c r="H29" i="16"/>
  <c r="N18" i="16"/>
  <c r="D17" i="1"/>
  <c r="E29" i="16"/>
  <c r="N12" i="16"/>
  <c r="G29" i="16"/>
  <c r="E17" i="1" l="1"/>
  <c r="D18" i="1" s="1"/>
  <c r="F18" i="1"/>
  <c r="B29" i="16"/>
  <c r="D29" i="16"/>
  <c r="E32" i="16"/>
  <c r="I29" i="16"/>
  <c r="J18" i="1" l="1"/>
  <c r="I17" i="1"/>
  <c r="K5" i="1"/>
  <c r="J19" i="1"/>
  <c r="N29" i="16"/>
</calcChain>
</file>

<file path=xl/sharedStrings.xml><?xml version="1.0" encoding="utf-8"?>
<sst xmlns="http://schemas.openxmlformats.org/spreadsheetml/2006/main" count="2187" uniqueCount="726">
  <si>
    <t>TOTAL</t>
  </si>
  <si>
    <t>MARCH</t>
  </si>
  <si>
    <t>APRIL</t>
  </si>
  <si>
    <t>JUNE</t>
  </si>
  <si>
    <t>JULY</t>
  </si>
  <si>
    <t>MAY</t>
  </si>
  <si>
    <t>DAY</t>
  </si>
  <si>
    <t>CASH</t>
  </si>
  <si>
    <t>ACCOUNT</t>
  </si>
  <si>
    <t>THE01</t>
  </si>
  <si>
    <t>GRH01</t>
  </si>
  <si>
    <t>COM01</t>
  </si>
  <si>
    <t>MEC01</t>
  </si>
  <si>
    <t>JAE01</t>
  </si>
  <si>
    <t>JOY01</t>
  </si>
  <si>
    <t>AMC01</t>
  </si>
  <si>
    <t>VRY01</t>
  </si>
  <si>
    <t>TOTALS FOR EACH ACCOUNT HOLDER</t>
  </si>
  <si>
    <t>INV</t>
  </si>
  <si>
    <t>CUSTOMER</t>
  </si>
  <si>
    <t>AUGUST</t>
  </si>
  <si>
    <t>SEPTEMBER</t>
  </si>
  <si>
    <t>OCTOBER</t>
  </si>
  <si>
    <t>NOVEMBER</t>
  </si>
  <si>
    <t>DECEMBER</t>
  </si>
  <si>
    <t>JANUARY</t>
  </si>
  <si>
    <t>FEBRUARY</t>
  </si>
  <si>
    <t>HYD01</t>
  </si>
  <si>
    <t>AMC Parts</t>
  </si>
  <si>
    <t>Commercial Shearing</t>
  </si>
  <si>
    <t>G &amp; R Hydraulics</t>
  </si>
  <si>
    <t>J.A. Engineering</t>
  </si>
  <si>
    <t>Joy Mining Machinery</t>
  </si>
  <si>
    <t>Mechyd Engineering Services</t>
  </si>
  <si>
    <t>Hydstar Engineering</t>
  </si>
  <si>
    <t>Vryheid Cranes</t>
  </si>
  <si>
    <t>YEAR</t>
  </si>
  <si>
    <t>CASH SALES</t>
  </si>
  <si>
    <t>ACCOUNT SALES</t>
  </si>
  <si>
    <t>TOTAL SALES</t>
  </si>
  <si>
    <t>Tshwane Hydraulics</t>
  </si>
  <si>
    <t xml:space="preserve"> </t>
  </si>
  <si>
    <t>EPE01</t>
  </si>
  <si>
    <t>Thembelihle Equipment</t>
  </si>
  <si>
    <t>DBZ01</t>
  </si>
  <si>
    <t>DBZ Diesel Parts</t>
  </si>
  <si>
    <t>Equipment Parts &amp; Engines</t>
  </si>
  <si>
    <t>TSH01</t>
  </si>
  <si>
    <t>BEL01</t>
  </si>
  <si>
    <t>POW01</t>
  </si>
  <si>
    <t>SUMMARY:</t>
  </si>
  <si>
    <t>TOTAL INVOICED SALES:</t>
  </si>
  <si>
    <t>AVERAGE  CASH SALES:</t>
  </si>
  <si>
    <t>TOTAL CASH SALES:</t>
  </si>
  <si>
    <t>TOTAL ACCOUNT SALES:</t>
  </si>
  <si>
    <t>AVERAGE ACCOUNT SALES:</t>
  </si>
  <si>
    <t>HIGHEST MONTH SALES:</t>
  </si>
  <si>
    <t>Bell Equipment</t>
  </si>
  <si>
    <t>ANG01</t>
  </si>
  <si>
    <t>AngloGold Ashanti</t>
  </si>
  <si>
    <t>AVERAGE MONTHLY SALES:</t>
  </si>
  <si>
    <t>SAN01</t>
  </si>
  <si>
    <t>Sandvik Mining &amp; Construction</t>
  </si>
  <si>
    <t>LOWEST MONTH SALES</t>
  </si>
  <si>
    <t>#1 :</t>
  </si>
  <si>
    <t>#2 :</t>
  </si>
  <si>
    <t>#3 :</t>
  </si>
  <si>
    <t>600SA Holdings</t>
  </si>
  <si>
    <t>5 Biggest Customers:</t>
  </si>
  <si>
    <t>#4 :</t>
  </si>
  <si>
    <t>#5 :</t>
  </si>
  <si>
    <t>Power Transmission Technology</t>
  </si>
  <si>
    <t>MAL01</t>
  </si>
  <si>
    <t>Malcom-Ezindaleni Hydraulics &amp; Eng.</t>
  </si>
  <si>
    <t>DOS01</t>
  </si>
  <si>
    <t>Dosco Hydraulics</t>
  </si>
  <si>
    <t>Highveld Mica</t>
  </si>
  <si>
    <t>HIG01</t>
  </si>
  <si>
    <t>AGRIGEL Dies</t>
  </si>
  <si>
    <t>AGR01</t>
  </si>
  <si>
    <t>HIG02</t>
  </si>
  <si>
    <t>Highveld Filters</t>
  </si>
  <si>
    <t>AGRIGEL</t>
  </si>
  <si>
    <t>PREMAC</t>
  </si>
  <si>
    <t>MONTH</t>
  </si>
  <si>
    <t>CASH FARMERS</t>
  </si>
  <si>
    <t>FARMERS</t>
  </si>
  <si>
    <t>INFANTMED</t>
  </si>
  <si>
    <t>VAT PURPOSES</t>
  </si>
  <si>
    <t>VAT</t>
  </si>
  <si>
    <t>INFANT MED</t>
  </si>
  <si>
    <t>ZUL01</t>
  </si>
  <si>
    <t>SAS01</t>
  </si>
  <si>
    <t>S. Automac Services</t>
  </si>
  <si>
    <t>MAL02</t>
  </si>
  <si>
    <t>TOTALS FOR ACCOUNT HOLDERS FOR 2015</t>
  </si>
  <si>
    <t>NCGCAM</t>
  </si>
  <si>
    <t>INFANTMED /             NCG CAM</t>
  </si>
  <si>
    <t>TOTAL INVOICES - FEBRUARY 2016</t>
  </si>
  <si>
    <t>TOTAL INVOICES - JANUARY 2016</t>
  </si>
  <si>
    <t>TOTAL INVOICES - DECEMBER 2015</t>
  </si>
  <si>
    <t>TOTAL INVOICES - NOVEMBER 2015</t>
  </si>
  <si>
    <t>TOTAL INVOICES - OCTOBER 2015</t>
  </si>
  <si>
    <t>TOTAL INVOICES - SEPTEMBER 2015</t>
  </si>
  <si>
    <t>TOTAL INVOICES - AUGUST 2015</t>
  </si>
  <si>
    <t>TOTAL INVOICES - JULY 2015</t>
  </si>
  <si>
    <t>TOTAL INVOICES - JUNE 2015</t>
  </si>
  <si>
    <t>TOTAL INVOICES - MAY 2015</t>
  </si>
  <si>
    <t>TOTAL INVOICES - APRIL 2015</t>
  </si>
  <si>
    <t>TOTAL INVOICES - MARCH 2015</t>
  </si>
  <si>
    <t>PI1382</t>
  </si>
  <si>
    <t>PI1383</t>
  </si>
  <si>
    <t>PI1384</t>
  </si>
  <si>
    <t>03</t>
  </si>
  <si>
    <t>Thembelihle Equipment - THE01</t>
  </si>
  <si>
    <t>Account</t>
  </si>
  <si>
    <t>-</t>
  </si>
  <si>
    <t>04</t>
  </si>
  <si>
    <t>PI1385</t>
  </si>
  <si>
    <t>PI1386</t>
  </si>
  <si>
    <t>Equipment Parts and Engines - EPE01</t>
  </si>
  <si>
    <t>Tshwane Hydraulics - TSH01</t>
  </si>
  <si>
    <t>PI1387</t>
  </si>
  <si>
    <t>05</t>
  </si>
  <si>
    <t>Hydro Concepts and Drive Technologies</t>
  </si>
  <si>
    <t>Received p.o.p</t>
  </si>
  <si>
    <t>PI1388</t>
  </si>
  <si>
    <t>09</t>
  </si>
  <si>
    <t>PI1389</t>
  </si>
  <si>
    <t>PI1390</t>
  </si>
  <si>
    <t>Maloma Colliery - MAL01</t>
  </si>
  <si>
    <t>PI1391</t>
  </si>
  <si>
    <t>PI1393</t>
  </si>
  <si>
    <t>PI1392</t>
  </si>
  <si>
    <t>PI1394</t>
  </si>
  <si>
    <t>Elgin Flameproofing</t>
  </si>
  <si>
    <t>Countrywide Gearbox Repairs</t>
  </si>
  <si>
    <t>Rock Mining Machines</t>
  </si>
  <si>
    <t>Altivex</t>
  </si>
  <si>
    <t>10</t>
  </si>
  <si>
    <t>PI1397</t>
  </si>
  <si>
    <t>AI1396</t>
  </si>
  <si>
    <t>PI1395</t>
  </si>
  <si>
    <t>Powerforce Hydraulics</t>
  </si>
  <si>
    <t>Hydrapower Hydraulics</t>
  </si>
  <si>
    <t>PI1398</t>
  </si>
  <si>
    <t>11</t>
  </si>
  <si>
    <t>PI1399</t>
  </si>
  <si>
    <t>Fluid Power Automation</t>
  </si>
  <si>
    <t>Paid by internet</t>
  </si>
  <si>
    <t>12</t>
  </si>
  <si>
    <t>PI1400</t>
  </si>
  <si>
    <t>17</t>
  </si>
  <si>
    <t>PI1401</t>
  </si>
  <si>
    <t>Vryheid Cranes - VRY01</t>
  </si>
  <si>
    <t>18</t>
  </si>
  <si>
    <t>PI1402</t>
  </si>
  <si>
    <t>Commercial Shearing - COM01</t>
  </si>
  <si>
    <t>PI1403</t>
  </si>
  <si>
    <t>DBZ Diesel Parts - DBZ01</t>
  </si>
  <si>
    <t>PI1404</t>
  </si>
  <si>
    <t>ADT Truck and Tractor</t>
  </si>
  <si>
    <t>20</t>
  </si>
  <si>
    <t>PI1405</t>
  </si>
  <si>
    <t>23</t>
  </si>
  <si>
    <t>AI1406</t>
  </si>
  <si>
    <t>Vuma Fertilizer Services / H Smit</t>
  </si>
  <si>
    <t>24</t>
  </si>
  <si>
    <t>PI1407</t>
  </si>
  <si>
    <t>PI1406</t>
  </si>
  <si>
    <t>25</t>
  </si>
  <si>
    <t>PI1408</t>
  </si>
  <si>
    <t>Sandvik M &amp; C Delmas - SAN01</t>
  </si>
  <si>
    <t>PI1409</t>
  </si>
  <si>
    <t>PI1410</t>
  </si>
  <si>
    <t>PI1411</t>
  </si>
  <si>
    <t>Bell Equipment - BEL01</t>
  </si>
  <si>
    <t>Joy Global - JOY01</t>
  </si>
  <si>
    <t>AI1412</t>
  </si>
  <si>
    <t>Purest Taste</t>
  </si>
  <si>
    <t>PI1413</t>
  </si>
  <si>
    <t>26</t>
  </si>
  <si>
    <t>30</t>
  </si>
  <si>
    <t>PI1414</t>
  </si>
  <si>
    <t>01</t>
  </si>
  <si>
    <t>PI1415</t>
  </si>
  <si>
    <t>EP Roux</t>
  </si>
  <si>
    <t>08</t>
  </si>
  <si>
    <t>PI1416</t>
  </si>
  <si>
    <t>Terblanche Engineering</t>
  </si>
  <si>
    <t>PI1417</t>
  </si>
  <si>
    <t>All Mining Component Parts - AMC01</t>
  </si>
  <si>
    <t>13</t>
  </si>
  <si>
    <t>PI1418</t>
  </si>
  <si>
    <t>PI1419</t>
  </si>
  <si>
    <t>15</t>
  </si>
  <si>
    <t>PI1420</t>
  </si>
  <si>
    <t>PI1421</t>
  </si>
  <si>
    <t>M&amp;F Bemarking</t>
  </si>
  <si>
    <t>PI1422</t>
  </si>
  <si>
    <t>Largostax</t>
  </si>
  <si>
    <t>16</t>
  </si>
  <si>
    <t>PI1423</t>
  </si>
  <si>
    <t>PI1424</t>
  </si>
  <si>
    <t>Witbank Power Spares</t>
  </si>
  <si>
    <t>PI1425</t>
  </si>
  <si>
    <t>21</t>
  </si>
  <si>
    <t>PI1426</t>
  </si>
  <si>
    <t>PI1427</t>
  </si>
  <si>
    <t>PI1428</t>
  </si>
  <si>
    <t>PI1429</t>
  </si>
  <si>
    <t>Maloma Colliery Ltd - MAL01</t>
  </si>
  <si>
    <t>PI1430</t>
  </si>
  <si>
    <t>PI1431</t>
  </si>
  <si>
    <t>LJ Hydraulics</t>
  </si>
  <si>
    <t>28</t>
  </si>
  <si>
    <t>PI1432</t>
  </si>
  <si>
    <t>Sandvik M&amp;C Delmas - SAN01</t>
  </si>
  <si>
    <t>PI1433</t>
  </si>
  <si>
    <t>PI1434</t>
  </si>
  <si>
    <t>PI1435</t>
  </si>
  <si>
    <t>Equipment Parts &amp; Engines - EPE01</t>
  </si>
  <si>
    <t>ü</t>
  </si>
  <si>
    <t>07</t>
  </si>
  <si>
    <t>PI1436</t>
  </si>
  <si>
    <t>PI1437</t>
  </si>
  <si>
    <t>Dosco Hydraulics- DOS01</t>
  </si>
  <si>
    <t>PI1438</t>
  </si>
  <si>
    <t>PI1439</t>
  </si>
  <si>
    <t>Sandvik Mining - SAN01</t>
  </si>
  <si>
    <t>S. Automac Services - SAS01</t>
  </si>
  <si>
    <t>PI1440</t>
  </si>
  <si>
    <t>PI1441</t>
  </si>
  <si>
    <t>PI1442</t>
  </si>
  <si>
    <t>PI1443</t>
  </si>
  <si>
    <t>PI1444</t>
  </si>
  <si>
    <t>Hydrapower Hydraulics - HYD02</t>
  </si>
  <si>
    <t>HYD02</t>
  </si>
  <si>
    <t>PI1445</t>
  </si>
  <si>
    <t>PI1446</t>
  </si>
  <si>
    <t>PI1447</t>
  </si>
  <si>
    <t>PI1448</t>
  </si>
  <si>
    <t>19</t>
  </si>
  <si>
    <t>J.A. Engineering - JAE01</t>
  </si>
  <si>
    <t>PI1449</t>
  </si>
  <si>
    <t>PI1450</t>
  </si>
  <si>
    <t>AI1451</t>
  </si>
  <si>
    <t>PI1452</t>
  </si>
  <si>
    <t>PI1453</t>
  </si>
  <si>
    <t>JP Motors</t>
  </si>
  <si>
    <t>PI1454</t>
  </si>
  <si>
    <t>27</t>
  </si>
  <si>
    <t>PI1456</t>
  </si>
  <si>
    <t>Fullimput 1305</t>
  </si>
  <si>
    <t>To Pay</t>
  </si>
  <si>
    <t>PI1457</t>
  </si>
  <si>
    <t>02</t>
  </si>
  <si>
    <t>PI1458</t>
  </si>
  <si>
    <t>PI1459</t>
  </si>
  <si>
    <t>PI1460</t>
  </si>
  <si>
    <t>PI1461</t>
  </si>
  <si>
    <t>PI1462</t>
  </si>
  <si>
    <t>PI1463</t>
  </si>
  <si>
    <t>PI1464</t>
  </si>
  <si>
    <t>PI1465</t>
  </si>
  <si>
    <t>PI1466</t>
  </si>
  <si>
    <t>PI1467</t>
  </si>
  <si>
    <t>PI1468</t>
  </si>
  <si>
    <t>PI1469</t>
  </si>
  <si>
    <t>PI1470</t>
  </si>
  <si>
    <t>PI1471</t>
  </si>
  <si>
    <t>PI1472</t>
  </si>
  <si>
    <t>PI1473</t>
  </si>
  <si>
    <t>All Mining Components - AMC01</t>
  </si>
  <si>
    <t>PI1474</t>
  </si>
  <si>
    <t>Mechyd Engineering Services - MEC01</t>
  </si>
  <si>
    <t>PI1475</t>
  </si>
  <si>
    <t>Malcom-Ezindaleni Hydraulics - MAL02</t>
  </si>
  <si>
    <t>PI1476</t>
  </si>
  <si>
    <t>Powerforce Hydraulics - POW01</t>
  </si>
  <si>
    <t>PI1477</t>
  </si>
  <si>
    <t>BHS Sales</t>
  </si>
  <si>
    <t>PI1455</t>
  </si>
  <si>
    <t>PI1478</t>
  </si>
  <si>
    <t>PI1479</t>
  </si>
  <si>
    <t>PI1480</t>
  </si>
  <si>
    <t>PI1481</t>
  </si>
  <si>
    <t>PI1482</t>
  </si>
  <si>
    <t>PI1483</t>
  </si>
  <si>
    <t>PI1484</t>
  </si>
  <si>
    <t>PI1485</t>
  </si>
  <si>
    <t>PI1486</t>
  </si>
  <si>
    <t>Ferobrake Witbank</t>
  </si>
  <si>
    <t>PI1487</t>
  </si>
  <si>
    <t>14</t>
  </si>
  <si>
    <t>PI1488</t>
  </si>
  <si>
    <t>PI1489</t>
  </si>
  <si>
    <t>PI1490</t>
  </si>
  <si>
    <t>PI1491</t>
  </si>
  <si>
    <t>AI1493</t>
  </si>
  <si>
    <t>AI1494</t>
  </si>
  <si>
    <t>AI1495</t>
  </si>
  <si>
    <t>AI1496</t>
  </si>
  <si>
    <t>AI1497</t>
  </si>
  <si>
    <t>AI1498</t>
  </si>
  <si>
    <t>AI1499</t>
  </si>
  <si>
    <t>AI1500</t>
  </si>
  <si>
    <t>AI1503</t>
  </si>
  <si>
    <t>AI1501</t>
  </si>
  <si>
    <t>AI1502</t>
  </si>
  <si>
    <t>H Van Wyk</t>
  </si>
  <si>
    <t>PJ Bezuidenhout</t>
  </si>
  <si>
    <t>Dunn Boerdery</t>
  </si>
  <si>
    <t>Johan Barnard</t>
  </si>
  <si>
    <t>Disselboom Boerdery</t>
  </si>
  <si>
    <t>Vierfontein Boerdery</t>
  </si>
  <si>
    <t>PR Cilliers</t>
  </si>
  <si>
    <t>PM Swart</t>
  </si>
  <si>
    <t>Gerhard Roos</t>
  </si>
  <si>
    <t>PI1504</t>
  </si>
  <si>
    <t>PI1505</t>
  </si>
  <si>
    <t>PI1507</t>
  </si>
  <si>
    <t>PI1508</t>
  </si>
  <si>
    <t>Joy Mining Machinery - JOY01</t>
  </si>
  <si>
    <t>PI1509</t>
  </si>
  <si>
    <t>JA Engineering Works - JAE01</t>
  </si>
  <si>
    <t>PI1510</t>
  </si>
  <si>
    <t>PI1511</t>
  </si>
  <si>
    <t>PI1512</t>
  </si>
  <si>
    <t>PI1513</t>
  </si>
  <si>
    <t>PI1514</t>
  </si>
  <si>
    <t>PI1515</t>
  </si>
  <si>
    <t>PI1516</t>
  </si>
  <si>
    <t>PI1517</t>
  </si>
  <si>
    <t>AI1518</t>
  </si>
  <si>
    <t>NI1519</t>
  </si>
  <si>
    <t>JC Plastic</t>
  </si>
  <si>
    <t>OTHER</t>
  </si>
  <si>
    <t>PI1520</t>
  </si>
  <si>
    <t>29</t>
  </si>
  <si>
    <t>PI1521</t>
  </si>
  <si>
    <t>RETURNED</t>
  </si>
  <si>
    <t>Forklift Masters</t>
  </si>
  <si>
    <t>PI1522</t>
  </si>
  <si>
    <t>PI1523</t>
  </si>
  <si>
    <t>31</t>
  </si>
  <si>
    <t>PI1525</t>
  </si>
  <si>
    <t>Paid by cheque</t>
  </si>
  <si>
    <t>AI1524</t>
  </si>
  <si>
    <t>Jozua Du Plessis</t>
  </si>
  <si>
    <t>PI1526</t>
  </si>
  <si>
    <t>Coalseam Hydraulics</t>
  </si>
  <si>
    <t>06</t>
  </si>
  <si>
    <t>PI1527</t>
  </si>
  <si>
    <t>FUL01</t>
  </si>
  <si>
    <t>PI1528</t>
  </si>
  <si>
    <t>MTS Parts</t>
  </si>
  <si>
    <t>Credit Note</t>
  </si>
  <si>
    <t>PI1529</t>
  </si>
  <si>
    <t>PI1530</t>
  </si>
  <si>
    <t>AI1531</t>
  </si>
  <si>
    <t>Chris Herbst</t>
  </si>
  <si>
    <t>PI1532</t>
  </si>
  <si>
    <t>PI1533</t>
  </si>
  <si>
    <t>PI1534</t>
  </si>
  <si>
    <t>PI1535</t>
  </si>
  <si>
    <t>PI1536</t>
  </si>
  <si>
    <t>PI1537</t>
  </si>
  <si>
    <t>AI1538</t>
  </si>
  <si>
    <t>AI1539</t>
  </si>
  <si>
    <t>Christiaan Coetzer</t>
  </si>
  <si>
    <t>PI1540</t>
  </si>
  <si>
    <t>Sandvik Mining RSA - SAN01</t>
  </si>
  <si>
    <t>AI1541</t>
  </si>
  <si>
    <t>Combined Sales</t>
  </si>
  <si>
    <t>AI1542</t>
  </si>
  <si>
    <t>AI1543</t>
  </si>
  <si>
    <t>Johan Theart</t>
  </si>
  <si>
    <t>PI1544</t>
  </si>
  <si>
    <t>PI1545</t>
  </si>
  <si>
    <t>PI1546</t>
  </si>
  <si>
    <t>Hydrapump</t>
  </si>
  <si>
    <t>Dosco Hydraulics - DOS01</t>
  </si>
  <si>
    <t>PI1547</t>
  </si>
  <si>
    <t>PI1548</t>
  </si>
  <si>
    <t>PI1549</t>
  </si>
  <si>
    <t>PI1550</t>
  </si>
  <si>
    <t>PI1551</t>
  </si>
  <si>
    <t>PI1552</t>
  </si>
  <si>
    <t>PI1553</t>
  </si>
  <si>
    <t>AI1554</t>
  </si>
  <si>
    <t>Strydom Broers Boerdery</t>
  </si>
  <si>
    <t>AI1555</t>
  </si>
  <si>
    <t>AI1556</t>
  </si>
  <si>
    <t>Omnia Delmas</t>
  </si>
  <si>
    <t>PI1557</t>
  </si>
  <si>
    <t>M Schalekamp / Nzuri Boerdery</t>
  </si>
  <si>
    <t>NI1559</t>
  </si>
  <si>
    <t>PI1560</t>
  </si>
  <si>
    <t>M &amp; F Bemarking</t>
  </si>
  <si>
    <t>Received p.o.p.</t>
  </si>
  <si>
    <t>PI1561</t>
  </si>
  <si>
    <t>PI1562</t>
  </si>
  <si>
    <t>PI1563</t>
  </si>
  <si>
    <t>AI1564</t>
  </si>
  <si>
    <t>AI1565</t>
  </si>
  <si>
    <t>AI1566</t>
  </si>
  <si>
    <t>AI1567</t>
  </si>
  <si>
    <t>AI1568</t>
  </si>
  <si>
    <t>HJP Boerdery</t>
  </si>
  <si>
    <t>Vosbreedt Boerdery</t>
  </si>
  <si>
    <t>Rensburg Trust</t>
  </si>
  <si>
    <t>Jacarieka Trust</t>
  </si>
  <si>
    <t>PI1569</t>
  </si>
  <si>
    <t>AI1570</t>
  </si>
  <si>
    <t>PI1571</t>
  </si>
  <si>
    <t>PI1572</t>
  </si>
  <si>
    <t>AI1573</t>
  </si>
  <si>
    <t>AI1577</t>
  </si>
  <si>
    <t>AI1574</t>
  </si>
  <si>
    <t>AI1575</t>
  </si>
  <si>
    <t>AI1576</t>
  </si>
  <si>
    <t>NWK Bpk</t>
  </si>
  <si>
    <t>Frans Mostert</t>
  </si>
  <si>
    <t>ZCS Boerdery</t>
  </si>
  <si>
    <t>Grootbos Voerkrale</t>
  </si>
  <si>
    <t>Syferfontein Farming</t>
  </si>
  <si>
    <t>AI1578</t>
  </si>
  <si>
    <t>Hubulk</t>
  </si>
  <si>
    <t>PI1579.</t>
  </si>
  <si>
    <t>PI1580</t>
  </si>
  <si>
    <t>TOTAL INVOICED SALES FOR 2016 FINANCIAL YEAR</t>
  </si>
  <si>
    <t>AI1581</t>
  </si>
  <si>
    <t>AI1582</t>
  </si>
  <si>
    <t>22</t>
  </si>
  <si>
    <t>AI1583</t>
  </si>
  <si>
    <t>PI1584</t>
  </si>
  <si>
    <t>PI1585</t>
  </si>
  <si>
    <t>PI1856</t>
  </si>
  <si>
    <t>PI1587</t>
  </si>
  <si>
    <t>PI1586</t>
  </si>
  <si>
    <t>Nzuri Boerdery / M Schalekamp</t>
  </si>
  <si>
    <t>AI1589</t>
  </si>
  <si>
    <t>PI1588</t>
  </si>
  <si>
    <t>Paid by Senwes</t>
  </si>
  <si>
    <t>AI1590</t>
  </si>
  <si>
    <t>Jan Boshoff Boerdery</t>
  </si>
  <si>
    <t>AI1591</t>
  </si>
  <si>
    <t>CP Potgieter</t>
  </si>
  <si>
    <t>AI1592</t>
  </si>
  <si>
    <t>AI1593</t>
  </si>
  <si>
    <t>AL Fivaz</t>
  </si>
  <si>
    <t>AI1594</t>
  </si>
  <si>
    <t>AI1595</t>
  </si>
  <si>
    <t>PI1596</t>
  </si>
  <si>
    <t>Ultra Spares</t>
  </si>
  <si>
    <t>CREDIT</t>
  </si>
  <si>
    <t>PI1597</t>
  </si>
  <si>
    <t>PI1598</t>
  </si>
  <si>
    <t>PI1599</t>
  </si>
  <si>
    <t>PI1600</t>
  </si>
  <si>
    <t>PI1601</t>
  </si>
  <si>
    <t>AI1602</t>
  </si>
  <si>
    <t>AI1603</t>
  </si>
  <si>
    <t>AI1604</t>
  </si>
  <si>
    <t>AI1605</t>
  </si>
  <si>
    <t>AI1606</t>
  </si>
  <si>
    <t>AI1607</t>
  </si>
  <si>
    <t>AI1608</t>
  </si>
  <si>
    <t>AI1609</t>
  </si>
  <si>
    <t>Syferbult Dairies</t>
  </si>
  <si>
    <t>JJP Nortje</t>
  </si>
  <si>
    <t>Johan Botha</t>
  </si>
  <si>
    <t>NWK</t>
  </si>
  <si>
    <t>AZ ROUSSEAU / Johan</t>
  </si>
  <si>
    <t>AI1610</t>
  </si>
  <si>
    <t>NCG CAM</t>
  </si>
  <si>
    <t>PI1611</t>
  </si>
  <si>
    <t>PI1612</t>
  </si>
  <si>
    <t>PI1613</t>
  </si>
  <si>
    <t>PI1614</t>
  </si>
  <si>
    <t>PI1615</t>
  </si>
  <si>
    <t>PI1616</t>
  </si>
  <si>
    <t>PI1617</t>
  </si>
  <si>
    <t>FullImput 1305 - FUL01</t>
  </si>
  <si>
    <t>VOID</t>
  </si>
  <si>
    <t>PI1618</t>
  </si>
  <si>
    <t>PI1619</t>
  </si>
  <si>
    <t>AI1620</t>
  </si>
  <si>
    <t xml:space="preserve">Omnia Fertilizer </t>
  </si>
  <si>
    <t>AI1621</t>
  </si>
  <si>
    <t>Agrule Link / Desmond Pienaar</t>
  </si>
  <si>
    <t>Paid cash</t>
  </si>
  <si>
    <t>PI1622</t>
  </si>
  <si>
    <t xml:space="preserve">Enright Tool &amp; Die Services </t>
  </si>
  <si>
    <t>JJ Potgieter Boerdery</t>
  </si>
  <si>
    <t>emailed 09/10</t>
  </si>
  <si>
    <t>AI1624</t>
  </si>
  <si>
    <t>AI1623</t>
  </si>
  <si>
    <t>Lukas Stols</t>
  </si>
  <si>
    <t>JBR Cameron</t>
  </si>
  <si>
    <t>emailed 18/08; 01/09; 29/01 smsed 12/10</t>
  </si>
  <si>
    <t>smsed 12/10</t>
  </si>
  <si>
    <t>PI1625</t>
  </si>
  <si>
    <t>Returned</t>
  </si>
  <si>
    <t>PI1626</t>
  </si>
  <si>
    <t>PI1627</t>
  </si>
  <si>
    <t>Rudi Liebenberg</t>
  </si>
  <si>
    <t>AI1628</t>
  </si>
  <si>
    <t>AI1629</t>
  </si>
  <si>
    <t>AI1630</t>
  </si>
  <si>
    <t>LP Stoltz</t>
  </si>
  <si>
    <t>AI1631</t>
  </si>
  <si>
    <t>AI1632</t>
  </si>
  <si>
    <t>AI1633</t>
  </si>
  <si>
    <t>AI1634</t>
  </si>
  <si>
    <t>AI1635</t>
  </si>
  <si>
    <t>Dirk Van Nieuwenhuizen</t>
  </si>
  <si>
    <t>Grimbeek Toerusting</t>
  </si>
  <si>
    <t>smsed 12/10; 20/10</t>
  </si>
  <si>
    <t>smsed 20/10</t>
  </si>
  <si>
    <t>PI1636</t>
  </si>
  <si>
    <t>Elgin Flameproof</t>
  </si>
  <si>
    <t>AI1637</t>
  </si>
  <si>
    <t>AI1638</t>
  </si>
  <si>
    <t>AI1639</t>
  </si>
  <si>
    <t>PI1558</t>
  </si>
  <si>
    <t>Centennial Trading Company</t>
  </si>
  <si>
    <t>CREDITED AGAINST AP</t>
  </si>
  <si>
    <t>PI1640</t>
  </si>
  <si>
    <t>PI1641</t>
  </si>
  <si>
    <t>PI1642</t>
  </si>
  <si>
    <t>PI1643</t>
  </si>
  <si>
    <t>AI1644</t>
  </si>
  <si>
    <t>AI1645</t>
  </si>
  <si>
    <t>AI1646</t>
  </si>
  <si>
    <t>AI1647</t>
  </si>
  <si>
    <t>Doornfontein Trust / M Van Zyl</t>
  </si>
  <si>
    <t>JM Erasmus</t>
  </si>
  <si>
    <t>TP Pretorius</t>
  </si>
  <si>
    <t>AI1648</t>
  </si>
  <si>
    <t>NJ Bierman</t>
  </si>
  <si>
    <t>PI1649</t>
  </si>
  <si>
    <t>PI1650</t>
  </si>
  <si>
    <t>PI1651</t>
  </si>
  <si>
    <t>AI1652</t>
  </si>
  <si>
    <t>Rietfontein Groep</t>
  </si>
  <si>
    <t>AI1653</t>
  </si>
  <si>
    <t>AI1654</t>
  </si>
  <si>
    <t>AI1655</t>
  </si>
  <si>
    <t>AI1656</t>
  </si>
  <si>
    <t>AI1657</t>
  </si>
  <si>
    <t>AI1658</t>
  </si>
  <si>
    <t>Hydstar Engineering - HYD01</t>
  </si>
  <si>
    <t>JPL Odendaal</t>
  </si>
  <si>
    <t>Thuso Graan / WA Saaiboerdery</t>
  </si>
  <si>
    <t>PG Boerdery</t>
  </si>
  <si>
    <t>BD Naude</t>
  </si>
  <si>
    <t>C Malherbe</t>
  </si>
  <si>
    <t>Stiglingh Boerdery</t>
  </si>
  <si>
    <t>PI1659</t>
  </si>
  <si>
    <t>PI1660</t>
  </si>
  <si>
    <t>PI1661</t>
  </si>
  <si>
    <t>OM Trading</t>
  </si>
  <si>
    <t>PI1662</t>
  </si>
  <si>
    <t>High Duty Castings</t>
  </si>
  <si>
    <t>AI1663</t>
  </si>
  <si>
    <t>PI1664</t>
  </si>
  <si>
    <t>PI1665</t>
  </si>
  <si>
    <t>PI1666</t>
  </si>
  <si>
    <t>PI1667</t>
  </si>
  <si>
    <t>PI1668</t>
  </si>
  <si>
    <t>Joy Mining - JOY01</t>
  </si>
  <si>
    <t>AI1669</t>
  </si>
  <si>
    <t>AI1670</t>
  </si>
  <si>
    <t>AI1671</t>
  </si>
  <si>
    <t>AI1672</t>
  </si>
  <si>
    <t>Jaco Swanepoel</t>
  </si>
  <si>
    <t>MJ Groenewald</t>
  </si>
  <si>
    <t>Robyn Boerdery</t>
  </si>
  <si>
    <t>JT Ferreira</t>
  </si>
  <si>
    <t>PI1673</t>
  </si>
  <si>
    <t>AI1674</t>
  </si>
  <si>
    <t>AI1675</t>
  </si>
  <si>
    <t>PI1676</t>
  </si>
  <si>
    <t>PI1677</t>
  </si>
  <si>
    <t>PI1678</t>
  </si>
  <si>
    <t>PI1679</t>
  </si>
  <si>
    <t>PI1680</t>
  </si>
  <si>
    <t>Redwing Mining Supplies</t>
  </si>
  <si>
    <t>PI1681</t>
  </si>
  <si>
    <t>Enright Tool &amp; Die Services</t>
  </si>
  <si>
    <t>PI1682</t>
  </si>
  <si>
    <t>PI1683</t>
  </si>
  <si>
    <t>PI1684</t>
  </si>
  <si>
    <t>PI1685</t>
  </si>
  <si>
    <t>PI1686</t>
  </si>
  <si>
    <t>NI1687</t>
  </si>
  <si>
    <t>JC Plastics</t>
  </si>
  <si>
    <t>AI1688</t>
  </si>
  <si>
    <t>AI1689</t>
  </si>
  <si>
    <t>NWK Beperk</t>
  </si>
  <si>
    <t>PI1690</t>
  </si>
  <si>
    <t>AI1691</t>
  </si>
  <si>
    <t>AI1692</t>
  </si>
  <si>
    <t>CF Herbst</t>
  </si>
  <si>
    <t>PI1693</t>
  </si>
  <si>
    <t>PI1694</t>
  </si>
  <si>
    <t>PI1695</t>
  </si>
  <si>
    <t>PI1696</t>
  </si>
  <si>
    <t>AI1697</t>
  </si>
  <si>
    <t>Mandarina Trading</t>
  </si>
  <si>
    <t>PI1698</t>
  </si>
  <si>
    <t>AI1700</t>
  </si>
  <si>
    <t>AI1699</t>
  </si>
  <si>
    <t>AZ Rousseau</t>
  </si>
  <si>
    <t>AI1701</t>
  </si>
  <si>
    <t>PI1702</t>
  </si>
  <si>
    <t>AI1703</t>
  </si>
  <si>
    <t>PI1705</t>
  </si>
  <si>
    <t>AI1704</t>
  </si>
  <si>
    <t>N Van Rensburg</t>
  </si>
  <si>
    <t>AI1706</t>
  </si>
  <si>
    <t>PI1707</t>
  </si>
  <si>
    <t>AI1708</t>
  </si>
  <si>
    <t>Hermansdal Landgoed</t>
  </si>
  <si>
    <t>PI1709</t>
  </si>
  <si>
    <t>ETM Manufacturing &amp; Components</t>
  </si>
  <si>
    <t>AI1710</t>
  </si>
  <si>
    <t>LDR Precision Retail Services</t>
  </si>
  <si>
    <t>PI1711</t>
  </si>
  <si>
    <t>emailled 24/11;</t>
  </si>
  <si>
    <t>smsed 12/10; 20/10; 24/11</t>
  </si>
  <si>
    <t>smsed 24/11</t>
  </si>
  <si>
    <t>Emailed 25/11</t>
  </si>
  <si>
    <t>JCG Boerdery</t>
  </si>
  <si>
    <t>CP Bierman</t>
  </si>
  <si>
    <t>smsed 25/11</t>
  </si>
  <si>
    <t>AI1712</t>
  </si>
  <si>
    <t>Rogella Farming / Roger Crispin</t>
  </si>
  <si>
    <t>PI1713</t>
  </si>
  <si>
    <t>PI1714</t>
  </si>
  <si>
    <t>PI1715</t>
  </si>
  <si>
    <t>AI1716</t>
  </si>
  <si>
    <t>AI1717</t>
  </si>
  <si>
    <t>Jacques Engelbrecht</t>
  </si>
  <si>
    <t>AI1718</t>
  </si>
  <si>
    <t>ANR Roets</t>
  </si>
  <si>
    <t>PI1719</t>
  </si>
  <si>
    <t>PI1721</t>
  </si>
  <si>
    <t>PI1720</t>
  </si>
  <si>
    <t>Joy Mining Global - JOY01</t>
  </si>
  <si>
    <t>PI1722</t>
  </si>
  <si>
    <t>CJ Grey Boerdery</t>
  </si>
  <si>
    <t>AI1723</t>
  </si>
  <si>
    <t>PI1724</t>
  </si>
  <si>
    <t>PI1725</t>
  </si>
  <si>
    <t>600SA Holdings - 600</t>
  </si>
  <si>
    <t>600</t>
  </si>
  <si>
    <t>PI1726</t>
  </si>
  <si>
    <t>PI1728</t>
  </si>
  <si>
    <t>PI1727</t>
  </si>
  <si>
    <t>PI1729</t>
  </si>
  <si>
    <t>AI1730</t>
  </si>
  <si>
    <t>GMD Familie Trust</t>
  </si>
  <si>
    <t>AI1731</t>
  </si>
  <si>
    <t>AI1732</t>
  </si>
  <si>
    <t>PI1733</t>
  </si>
  <si>
    <t>PI1734</t>
  </si>
  <si>
    <t>PI1735</t>
  </si>
  <si>
    <t>NI1736</t>
  </si>
  <si>
    <t>NI1737</t>
  </si>
  <si>
    <t>PI1738</t>
  </si>
  <si>
    <t>PI1739</t>
  </si>
  <si>
    <t>PI1740</t>
  </si>
  <si>
    <t>AI1741</t>
  </si>
  <si>
    <t>PI1743</t>
  </si>
  <si>
    <t>PI1742</t>
  </si>
  <si>
    <t>PI1744</t>
  </si>
  <si>
    <t>PI1745</t>
  </si>
  <si>
    <t>PI1746</t>
  </si>
  <si>
    <t>PI1747</t>
  </si>
  <si>
    <t>PI1748</t>
  </si>
  <si>
    <t>PI1749</t>
  </si>
  <si>
    <t>ENR01</t>
  </si>
  <si>
    <t>PI1750</t>
  </si>
  <si>
    <t>PI1751</t>
  </si>
  <si>
    <t>Mac Transco</t>
  </si>
  <si>
    <t>PI1753</t>
  </si>
  <si>
    <t>PI1754</t>
  </si>
  <si>
    <t>PI1755</t>
  </si>
  <si>
    <t>AI1756</t>
  </si>
  <si>
    <t>AI1757</t>
  </si>
  <si>
    <t>ETM Manufacturing</t>
  </si>
  <si>
    <t>PI1758</t>
  </si>
  <si>
    <t>HY01</t>
  </si>
  <si>
    <t>PI1759</t>
  </si>
  <si>
    <t>AI1760</t>
  </si>
  <si>
    <t>Koodoolake Trust</t>
  </si>
  <si>
    <t>PI1761</t>
  </si>
  <si>
    <t>PI1762</t>
  </si>
  <si>
    <t>Dosco Hydraulics MP - DOS01</t>
  </si>
  <si>
    <t>PI1763</t>
  </si>
  <si>
    <t>PI1764</t>
  </si>
  <si>
    <t>PI1765</t>
  </si>
  <si>
    <t>PI1766</t>
  </si>
  <si>
    <t>PI1767</t>
  </si>
  <si>
    <t>Fluid Power Automation - FPA01</t>
  </si>
  <si>
    <t>FPA01</t>
  </si>
  <si>
    <t>PI1768</t>
  </si>
  <si>
    <t>PI1769</t>
  </si>
  <si>
    <t>PI1770</t>
  </si>
  <si>
    <t>PI1771</t>
  </si>
  <si>
    <t>PI1772</t>
  </si>
  <si>
    <t>PI1773</t>
  </si>
  <si>
    <t>PI1776</t>
  </si>
  <si>
    <t>PI1777</t>
  </si>
  <si>
    <t>PI1778</t>
  </si>
  <si>
    <t>PI1779</t>
  </si>
  <si>
    <t>Gideon Van Wyk</t>
  </si>
  <si>
    <t>PI1780</t>
  </si>
  <si>
    <t>G &amp; R Hydraulics - GRH01</t>
  </si>
  <si>
    <t>600 SA Holdings - 600</t>
  </si>
  <si>
    <t>AGRIGEL FARMERS</t>
  </si>
  <si>
    <t>AGRIGEL ACCOUNTS</t>
  </si>
  <si>
    <t>% DECREASE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</si>
</sst>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R&quot;\ #,##0.00;&quot;R&quot;\ \-#,##0.00"/>
    <numFmt numFmtId="44" formatCode="_ &quot;R&quot;\ * #,##0.00_ ;_ &quot;R&quot;\ * \-#,##0.00_ ;_ &quot;R&quot;\ * &quot;-&quot;??_ ;_ @_ "/>
    <numFmt numFmtId="164" formatCode="_-&quot;R&quot;* #,##0.00_-;\-&quot;R&quot;* #,##0.00_-;_-&quot;R&quot;* &quot;-&quot;??_-;_-@_-"/>
    <numFmt numFmtId="165" formatCode="_-* #,##0.00_-;\-* #,##0.00_-;_-* &quot;-&quot;??_-;_-@_-"/>
    <numFmt numFmtId="166" formatCode="&quot;R&quot;\ #,##0.00"/>
    <numFmt numFmtId="167" formatCode="&quot;R&quot;#,##0.00"/>
  </numFmts>
  <fonts count="3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u val="singleAccounting"/>
      <sz val="10"/>
      <name val="Calibri"/>
      <family val="2"/>
    </font>
    <font>
      <i/>
      <sz val="10"/>
      <name val="Arial"/>
      <family val="2"/>
    </font>
    <font>
      <b/>
      <i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i/>
      <sz val="12"/>
      <name val="Arial"/>
      <family val="2"/>
    </font>
    <font>
      <b/>
      <sz val="11"/>
      <name val="Arial"/>
      <family val="2"/>
    </font>
    <font>
      <b/>
      <i/>
      <sz val="14"/>
      <name val="Arial"/>
      <family val="2"/>
    </font>
    <font>
      <b/>
      <i/>
      <sz val="9"/>
      <name val="Arial"/>
      <family val="2"/>
    </font>
    <font>
      <b/>
      <i/>
      <u/>
      <sz val="11"/>
      <name val="Arial"/>
      <family val="2"/>
    </font>
    <font>
      <i/>
      <sz val="8.5"/>
      <name val="Arial"/>
      <family val="2"/>
    </font>
    <font>
      <sz val="8.5"/>
      <color rgb="FF00B050"/>
      <name val="Arial"/>
      <family val="2"/>
    </font>
    <font>
      <i/>
      <sz val="10"/>
      <color theme="8" tint="-0.249977111117893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i/>
      <sz val="10"/>
      <color rgb="FF0070C0"/>
      <name val="Arial"/>
      <family val="2"/>
    </font>
    <font>
      <sz val="9"/>
      <color rgb="FFFF0000"/>
      <name val="Arial"/>
      <family val="2"/>
    </font>
    <font>
      <sz val="10"/>
      <name val="Wingdings"/>
      <charset val="2"/>
    </font>
    <font>
      <sz val="10"/>
      <color rgb="FFFF0000"/>
      <name val="Wingdings"/>
      <charset val="2"/>
    </font>
    <font>
      <sz val="8.5"/>
      <color rgb="FFFF0000"/>
      <name val="Arial"/>
      <family val="2"/>
    </font>
    <font>
      <sz val="8"/>
      <color rgb="FFFF0000"/>
      <name val="Arial"/>
      <family val="2"/>
    </font>
    <font>
      <b/>
      <sz val="8.5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5" fontId="29" fillId="0" borderId="0" applyFont="0" applyFill="0" applyBorder="0" applyAlignment="0" applyProtection="0"/>
  </cellStyleXfs>
  <cellXfs count="811">
    <xf numFmtId="0" fontId="0" fillId="0" borderId="0" xfId="0"/>
    <xf numFmtId="44" fontId="1" fillId="0" borderId="0" xfId="1"/>
    <xf numFmtId="49" fontId="2" fillId="0" borderId="0" xfId="0" applyNumberFormat="1" applyFont="1" applyAlignment="1">
      <alignment horizontal="center"/>
    </xf>
    <xf numFmtId="44" fontId="1" fillId="0" borderId="0" xfId="1" applyAlignment="1">
      <alignment horizontal="center"/>
    </xf>
    <xf numFmtId="49" fontId="3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4" fontId="4" fillId="0" borderId="1" xfId="1" applyFont="1" applyBorder="1"/>
    <xf numFmtId="44" fontId="4" fillId="0" borderId="0" xfId="0" applyNumberFormat="1" applyFont="1"/>
    <xf numFmtId="44" fontId="5" fillId="0" borderId="0" xfId="1" applyFont="1" applyBorder="1"/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0" xfId="0" applyFont="1"/>
    <xf numFmtId="44" fontId="5" fillId="0" borderId="0" xfId="0" applyNumberFormat="1" applyFont="1" applyBorder="1"/>
    <xf numFmtId="17" fontId="5" fillId="0" borderId="0" xfId="0" applyNumberFormat="1" applyFont="1" applyAlignment="1">
      <alignment horizontal="center" vertical="center"/>
    </xf>
    <xf numFmtId="17" fontId="5" fillId="0" borderId="5" xfId="0" applyNumberFormat="1" applyFont="1" applyBorder="1" applyAlignment="1">
      <alignment horizontal="center" vertical="center"/>
    </xf>
    <xf numFmtId="17" fontId="5" fillId="0" borderId="26" xfId="0" applyNumberFormat="1" applyFont="1" applyBorder="1" applyAlignment="1">
      <alignment horizontal="center" vertical="center"/>
    </xf>
    <xf numFmtId="17" fontId="5" fillId="0" borderId="27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44" fontId="6" fillId="0" borderId="13" xfId="1" applyFont="1" applyBorder="1" applyAlignment="1">
      <alignment vertical="center"/>
    </xf>
    <xf numFmtId="44" fontId="6" fillId="0" borderId="9" xfId="1" applyFont="1" applyBorder="1" applyAlignment="1">
      <alignment vertical="center"/>
    </xf>
    <xf numFmtId="44" fontId="6" fillId="0" borderId="29" xfId="1" applyFont="1" applyBorder="1" applyAlignment="1">
      <alignment vertical="center"/>
    </xf>
    <xf numFmtId="44" fontId="6" fillId="0" borderId="30" xfId="1" applyFont="1" applyBorder="1" applyAlignment="1">
      <alignment vertical="center"/>
    </xf>
    <xf numFmtId="0" fontId="5" fillId="0" borderId="31" xfId="0" applyFont="1" applyBorder="1" applyAlignment="1">
      <alignment horizontal="center" vertical="center"/>
    </xf>
    <xf numFmtId="44" fontId="6" fillId="0" borderId="11" xfId="1" applyFont="1" applyBorder="1" applyAlignment="1">
      <alignment vertical="center"/>
    </xf>
    <xf numFmtId="44" fontId="6" fillId="0" borderId="1" xfId="1" applyFont="1" applyBorder="1" applyAlignment="1">
      <alignment vertical="center"/>
    </xf>
    <xf numFmtId="44" fontId="6" fillId="0" borderId="32" xfId="1" applyFont="1" applyBorder="1" applyAlignment="1">
      <alignment vertical="center"/>
    </xf>
    <xf numFmtId="44" fontId="6" fillId="0" borderId="33" xfId="1" applyFont="1" applyBorder="1" applyAlignment="1">
      <alignment vertical="center"/>
    </xf>
    <xf numFmtId="0" fontId="5" fillId="0" borderId="34" xfId="0" applyFont="1" applyBorder="1" applyAlignment="1">
      <alignment horizontal="center" vertical="center"/>
    </xf>
    <xf numFmtId="44" fontId="6" fillId="0" borderId="35" xfId="1" applyFont="1" applyBorder="1" applyAlignment="1">
      <alignment vertical="center"/>
    </xf>
    <xf numFmtId="44" fontId="6" fillId="0" borderId="8" xfId="1" applyFont="1" applyBorder="1" applyAlignment="1">
      <alignment vertical="center"/>
    </xf>
    <xf numFmtId="44" fontId="6" fillId="0" borderId="36" xfId="1" applyFont="1" applyBorder="1" applyAlignment="1">
      <alignment vertical="center"/>
    </xf>
    <xf numFmtId="44" fontId="6" fillId="0" borderId="37" xfId="1" applyFont="1" applyBorder="1" applyAlignment="1">
      <alignment vertical="center"/>
    </xf>
    <xf numFmtId="44" fontId="6" fillId="0" borderId="38" xfId="1" applyFont="1" applyBorder="1" applyAlignment="1">
      <alignment vertical="center"/>
    </xf>
    <xf numFmtId="44" fontId="6" fillId="0" borderId="39" xfId="1" applyFont="1" applyBorder="1" applyAlignment="1">
      <alignment vertical="center"/>
    </xf>
    <xf numFmtId="44" fontId="6" fillId="0" borderId="39" xfId="1" applyFont="1" applyBorder="1" applyAlignment="1">
      <alignment horizontal="center" vertical="center"/>
    </xf>
    <xf numFmtId="44" fontId="6" fillId="0" borderId="0" xfId="1" applyFont="1" applyBorder="1" applyAlignment="1">
      <alignment vertical="center"/>
    </xf>
    <xf numFmtId="44" fontId="6" fillId="0" borderId="0" xfId="1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44" fontId="0" fillId="0" borderId="0" xfId="0" applyNumberFormat="1" applyAlignment="1">
      <alignment horizontal="center" vertical="center"/>
    </xf>
    <xf numFmtId="44" fontId="2" fillId="0" borderId="0" xfId="1" applyFont="1" applyFill="1" applyBorder="1" applyAlignment="1">
      <alignment horizontal="right" vertical="center"/>
    </xf>
    <xf numFmtId="44" fontId="2" fillId="0" borderId="0" xfId="1" applyFont="1" applyBorder="1" applyAlignment="1">
      <alignment vertical="center"/>
    </xf>
    <xf numFmtId="44" fontId="6" fillId="0" borderId="45" xfId="1" applyFont="1" applyBorder="1" applyAlignment="1">
      <alignment vertical="center"/>
    </xf>
    <xf numFmtId="44" fontId="9" fillId="0" borderId="27" xfId="1" applyFont="1" applyBorder="1" applyAlignment="1">
      <alignment horizontal="center" vertical="center"/>
    </xf>
    <xf numFmtId="44" fontId="0" fillId="0" borderId="0" xfId="0" applyNumberFormat="1" applyAlignment="1">
      <alignment vertical="center"/>
    </xf>
    <xf numFmtId="0" fontId="4" fillId="0" borderId="47" xfId="0" applyFont="1" applyBorder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44" fontId="0" fillId="0" borderId="0" xfId="0" applyNumberForma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0" fillId="0" borderId="41" xfId="0" applyBorder="1" applyAlignment="1">
      <alignment vertical="center"/>
    </xf>
    <xf numFmtId="0" fontId="9" fillId="0" borderId="28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4" fillId="0" borderId="50" xfId="0" applyFont="1" applyBorder="1" applyAlignment="1">
      <alignment vertical="center"/>
    </xf>
    <xf numFmtId="0" fontId="4" fillId="0" borderId="51" xfId="0" applyFont="1" applyBorder="1" applyAlignment="1">
      <alignment vertical="center"/>
    </xf>
    <xf numFmtId="0" fontId="4" fillId="0" borderId="52" xfId="0" applyFont="1" applyBorder="1" applyAlignment="1">
      <alignment vertical="center"/>
    </xf>
    <xf numFmtId="0" fontId="4" fillId="0" borderId="49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48" xfId="0" applyFont="1" applyBorder="1" applyAlignment="1">
      <alignment vertical="center"/>
    </xf>
    <xf numFmtId="0" fontId="4" fillId="0" borderId="53" xfId="0" applyFont="1" applyBorder="1" applyAlignment="1">
      <alignment vertical="center"/>
    </xf>
    <xf numFmtId="0" fontId="4" fillId="0" borderId="54" xfId="0" applyFont="1" applyBorder="1" applyAlignment="1">
      <alignment vertical="center"/>
    </xf>
    <xf numFmtId="0" fontId="4" fillId="0" borderId="55" xfId="0" applyFont="1" applyBorder="1" applyAlignment="1">
      <alignment vertical="center"/>
    </xf>
    <xf numFmtId="44" fontId="9" fillId="0" borderId="0" xfId="1" applyFont="1" applyBorder="1" applyAlignment="1">
      <alignment horizontal="center" vertical="center"/>
    </xf>
    <xf numFmtId="0" fontId="4" fillId="0" borderId="47" xfId="0" applyFont="1" applyBorder="1" applyAlignment="1"/>
    <xf numFmtId="0" fontId="4" fillId="0" borderId="7" xfId="0" applyFont="1" applyBorder="1" applyAlignment="1"/>
    <xf numFmtId="0" fontId="10" fillId="0" borderId="0" xfId="0" applyFont="1" applyAlignment="1">
      <alignment vertical="center"/>
    </xf>
    <xf numFmtId="44" fontId="10" fillId="0" borderId="0" xfId="1" applyFont="1" applyBorder="1" applyAlignment="1">
      <alignment vertical="center"/>
    </xf>
    <xf numFmtId="44" fontId="10" fillId="0" borderId="0" xfId="1" applyFont="1" applyBorder="1" applyAlignment="1">
      <alignment horizontal="center" vertical="center"/>
    </xf>
    <xf numFmtId="49" fontId="11" fillId="0" borderId="0" xfId="1" applyNumberFormat="1" applyFont="1" applyBorder="1" applyAlignment="1">
      <alignment horizontal="right" vertical="center"/>
    </xf>
    <xf numFmtId="49" fontId="11" fillId="0" borderId="0" xfId="0" applyNumberFormat="1" applyFont="1" applyAlignment="1">
      <alignment horizontal="right" vertical="center"/>
    </xf>
    <xf numFmtId="0" fontId="10" fillId="0" borderId="0" xfId="1" applyNumberFormat="1" applyFont="1" applyBorder="1" applyAlignment="1">
      <alignment horizontal="left" vertical="center"/>
    </xf>
    <xf numFmtId="0" fontId="10" fillId="0" borderId="0" xfId="0" applyNumberFormat="1" applyFont="1" applyAlignment="1">
      <alignment horizontal="left" vertical="center"/>
    </xf>
    <xf numFmtId="44" fontId="10" fillId="0" borderId="0" xfId="1" applyFont="1" applyAlignment="1">
      <alignment horizontal="left" vertical="center"/>
    </xf>
    <xf numFmtId="17" fontId="5" fillId="0" borderId="4" xfId="0" applyNumberFormat="1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44" fontId="6" fillId="0" borderId="23" xfId="1" applyFont="1" applyBorder="1" applyAlignment="1">
      <alignment vertical="center"/>
    </xf>
    <xf numFmtId="44" fontId="6" fillId="0" borderId="3" xfId="1" applyFont="1" applyBorder="1" applyAlignment="1">
      <alignment vertical="center"/>
    </xf>
    <xf numFmtId="44" fontId="6" fillId="0" borderId="57" xfId="1" applyFont="1" applyBorder="1" applyAlignment="1">
      <alignment vertical="center"/>
    </xf>
    <xf numFmtId="0" fontId="5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61" xfId="0" applyFont="1" applyBorder="1" applyAlignment="1">
      <alignment vertical="center"/>
    </xf>
    <xf numFmtId="44" fontId="2" fillId="0" borderId="25" xfId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0" fontId="13" fillId="0" borderId="0" xfId="0" applyFont="1"/>
    <xf numFmtId="0" fontId="1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  <xf numFmtId="49" fontId="15" fillId="0" borderId="0" xfId="0" applyNumberFormat="1" applyFont="1" applyAlignment="1">
      <alignment horizontal="left"/>
    </xf>
    <xf numFmtId="0" fontId="0" fillId="0" borderId="32" xfId="0" applyBorder="1" applyAlignment="1">
      <alignment horizontal="center" vertical="center"/>
    </xf>
    <xf numFmtId="44" fontId="0" fillId="0" borderId="11" xfId="1" applyFont="1" applyBorder="1" applyAlignment="1">
      <alignment horizontal="right" vertical="center"/>
    </xf>
    <xf numFmtId="44" fontId="0" fillId="0" borderId="10" xfId="1" applyFont="1" applyBorder="1" applyAlignment="1">
      <alignment horizontal="right" vertical="center"/>
    </xf>
    <xf numFmtId="44" fontId="0" fillId="0" borderId="23" xfId="1" applyFont="1" applyBorder="1" applyAlignment="1">
      <alignment horizontal="right" vertical="center"/>
    </xf>
    <xf numFmtId="44" fontId="0" fillId="0" borderId="42" xfId="1" applyFont="1" applyBorder="1" applyAlignment="1">
      <alignment horizontal="right" vertical="center"/>
    </xf>
    <xf numFmtId="44" fontId="0" fillId="0" borderId="40" xfId="1" applyFont="1" applyBorder="1" applyAlignment="1">
      <alignment vertical="center"/>
    </xf>
    <xf numFmtId="0" fontId="2" fillId="0" borderId="64" xfId="0" applyFont="1" applyBorder="1" applyAlignment="1">
      <alignment horizontal="center" vertical="center"/>
    </xf>
    <xf numFmtId="0" fontId="0" fillId="0" borderId="57" xfId="0" applyNumberFormat="1" applyBorder="1" applyAlignment="1">
      <alignment horizontal="center" vertical="center"/>
    </xf>
    <xf numFmtId="44" fontId="2" fillId="0" borderId="21" xfId="1" applyFont="1" applyFill="1" applyBorder="1" applyAlignment="1">
      <alignment horizontal="right" vertical="center"/>
    </xf>
    <xf numFmtId="44" fontId="2" fillId="0" borderId="17" xfId="1" applyFont="1" applyFill="1" applyBorder="1" applyAlignment="1">
      <alignment horizontal="right" vertical="center"/>
    </xf>
    <xf numFmtId="44" fontId="0" fillId="0" borderId="35" xfId="1" applyFont="1" applyBorder="1" applyAlignment="1">
      <alignment horizontal="right" vertical="center"/>
    </xf>
    <xf numFmtId="44" fontId="0" fillId="0" borderId="22" xfId="1" applyFont="1" applyBorder="1" applyAlignment="1">
      <alignment horizontal="right" vertical="center"/>
    </xf>
    <xf numFmtId="44" fontId="9" fillId="0" borderId="38" xfId="1" applyFont="1" applyBorder="1" applyAlignment="1">
      <alignment horizontal="center" vertical="center"/>
    </xf>
    <xf numFmtId="44" fontId="9" fillId="0" borderId="44" xfId="1" applyFont="1" applyBorder="1" applyAlignment="1">
      <alignment horizontal="center" vertical="center"/>
    </xf>
    <xf numFmtId="44" fontId="18" fillId="0" borderId="66" xfId="1" applyFont="1" applyBorder="1" applyAlignment="1">
      <alignment vertical="center"/>
    </xf>
    <xf numFmtId="44" fontId="18" fillId="0" borderId="67" xfId="1" applyFont="1" applyBorder="1" applyAlignment="1">
      <alignment vertical="center"/>
    </xf>
    <xf numFmtId="44" fontId="17" fillId="0" borderId="23" xfId="1" applyFont="1" applyBorder="1" applyAlignment="1">
      <alignment vertical="center"/>
    </xf>
    <xf numFmtId="44" fontId="17" fillId="0" borderId="42" xfId="1" applyFont="1" applyBorder="1" applyAlignment="1">
      <alignment vertical="center"/>
    </xf>
    <xf numFmtId="44" fontId="17" fillId="0" borderId="11" xfId="1" applyFont="1" applyBorder="1" applyAlignment="1">
      <alignment vertical="center"/>
    </xf>
    <xf numFmtId="44" fontId="17" fillId="0" borderId="10" xfId="1" applyFont="1" applyBorder="1" applyAlignment="1">
      <alignment vertical="center"/>
    </xf>
    <xf numFmtId="0" fontId="19" fillId="0" borderId="0" xfId="0" applyFont="1"/>
    <xf numFmtId="44" fontId="17" fillId="0" borderId="1" xfId="1" applyFont="1" applyBorder="1" applyAlignment="1">
      <alignment vertical="center"/>
    </xf>
    <xf numFmtId="44" fontId="17" fillId="0" borderId="9" xfId="1" applyFont="1" applyBorder="1" applyAlignment="1">
      <alignment vertical="center"/>
    </xf>
    <xf numFmtId="49" fontId="15" fillId="0" borderId="0" xfId="0" applyNumberFormat="1" applyFont="1" applyAlignment="1">
      <alignment horizontal="left" vertical="center"/>
    </xf>
    <xf numFmtId="44" fontId="17" fillId="0" borderId="31" xfId="1" applyFont="1" applyBorder="1" applyAlignment="1">
      <alignment vertical="center"/>
    </xf>
    <xf numFmtId="44" fontId="18" fillId="0" borderId="70" xfId="1" applyFont="1" applyBorder="1" applyAlignment="1">
      <alignment vertical="center"/>
    </xf>
    <xf numFmtId="166" fontId="2" fillId="0" borderId="9" xfId="1" applyNumberFormat="1" applyFont="1" applyBorder="1" applyAlignment="1">
      <alignment horizontal="center"/>
    </xf>
    <xf numFmtId="166" fontId="6" fillId="0" borderId="0" xfId="0" applyNumberFormat="1" applyFont="1"/>
    <xf numFmtId="44" fontId="17" fillId="0" borderId="7" xfId="1" applyFont="1" applyBorder="1" applyAlignment="1">
      <alignment vertical="center"/>
    </xf>
    <xf numFmtId="44" fontId="17" fillId="0" borderId="49" xfId="1" applyFont="1" applyBorder="1" applyAlignment="1">
      <alignment vertical="center"/>
    </xf>
    <xf numFmtId="44" fontId="17" fillId="0" borderId="13" xfId="1" applyFont="1" applyBorder="1" applyAlignment="1">
      <alignment horizontal="center"/>
    </xf>
    <xf numFmtId="44" fontId="17" fillId="0" borderId="69" xfId="1" applyFont="1" applyBorder="1" applyAlignment="1">
      <alignment horizontal="center"/>
    </xf>
    <xf numFmtId="44" fontId="17" fillId="0" borderId="11" xfId="1" applyFont="1" applyBorder="1" applyAlignment="1">
      <alignment horizontal="center"/>
    </xf>
    <xf numFmtId="44" fontId="17" fillId="0" borderId="7" xfId="1" applyFont="1" applyBorder="1" applyAlignment="1">
      <alignment horizontal="center"/>
    </xf>
    <xf numFmtId="44" fontId="17" fillId="0" borderId="1" xfId="1" applyFont="1" applyBorder="1"/>
    <xf numFmtId="44" fontId="17" fillId="0" borderId="10" xfId="1" applyFont="1" applyBorder="1"/>
    <xf numFmtId="44" fontId="17" fillId="0" borderId="1" xfId="1" applyFont="1" applyBorder="1" applyAlignment="1">
      <alignment horizontal="center"/>
    </xf>
    <xf numFmtId="44" fontId="17" fillId="0" borderId="21" xfId="1" applyFont="1" applyBorder="1"/>
    <xf numFmtId="44" fontId="17" fillId="0" borderId="43" xfId="1" applyFont="1" applyBorder="1"/>
    <xf numFmtId="44" fontId="17" fillId="0" borderId="44" xfId="1" applyFont="1" applyBorder="1"/>
    <xf numFmtId="49" fontId="9" fillId="0" borderId="4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57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0" fontId="4" fillId="0" borderId="0" xfId="0" applyFont="1"/>
    <xf numFmtId="0" fontId="4" fillId="0" borderId="32" xfId="0" applyFont="1" applyBorder="1" applyAlignment="1">
      <alignment vertical="center"/>
    </xf>
    <xf numFmtId="0" fontId="21" fillId="0" borderId="0" xfId="0" applyFont="1" applyAlignment="1">
      <alignment vertical="top"/>
    </xf>
    <xf numFmtId="44" fontId="2" fillId="0" borderId="64" xfId="1" applyFont="1" applyBorder="1" applyAlignment="1">
      <alignment vertical="center"/>
    </xf>
    <xf numFmtId="44" fontId="0" fillId="0" borderId="59" xfId="1" applyFont="1" applyBorder="1" applyAlignment="1">
      <alignment horizontal="right" vertical="center"/>
    </xf>
    <xf numFmtId="44" fontId="0" fillId="0" borderId="31" xfId="1" applyFont="1" applyBorder="1" applyAlignment="1">
      <alignment horizontal="right" vertical="center"/>
    </xf>
    <xf numFmtId="166" fontId="20" fillId="0" borderId="73" xfId="1" applyNumberFormat="1" applyFont="1" applyFill="1" applyBorder="1" applyAlignment="1">
      <alignment horizontal="center" vertical="center"/>
    </xf>
    <xf numFmtId="44" fontId="17" fillId="0" borderId="16" xfId="1" applyFont="1" applyBorder="1" applyAlignment="1">
      <alignment horizontal="center"/>
    </xf>
    <xf numFmtId="44" fontId="17" fillId="0" borderId="74" xfId="1" applyFont="1" applyBorder="1" applyAlignment="1">
      <alignment horizontal="center"/>
    </xf>
    <xf numFmtId="44" fontId="17" fillId="0" borderId="75" xfId="1" applyFont="1" applyBorder="1"/>
    <xf numFmtId="44" fontId="2" fillId="0" borderId="20" xfId="1" applyFont="1" applyBorder="1" applyAlignment="1">
      <alignment horizontal="center"/>
    </xf>
    <xf numFmtId="44" fontId="17" fillId="0" borderId="76" xfId="1" applyFont="1" applyBorder="1"/>
    <xf numFmtId="44" fontId="17" fillId="0" borderId="59" xfId="1" applyFont="1" applyBorder="1" applyAlignment="1">
      <alignment vertical="center"/>
    </xf>
    <xf numFmtId="0" fontId="1" fillId="0" borderId="0" xfId="0" applyFont="1"/>
    <xf numFmtId="16" fontId="0" fillId="0" borderId="0" xfId="0" applyNumberFormat="1" applyAlignment="1">
      <alignment horizontal="center"/>
    </xf>
    <xf numFmtId="16" fontId="8" fillId="0" borderId="0" xfId="0" applyNumberFormat="1" applyFont="1" applyAlignment="1">
      <alignment horizontal="center"/>
    </xf>
    <xf numFmtId="44" fontId="2" fillId="0" borderId="0" xfId="1" applyFont="1" applyBorder="1" applyAlignment="1">
      <alignment horizontal="center"/>
    </xf>
    <xf numFmtId="44" fontId="17" fillId="0" borderId="0" xfId="1" applyFont="1" applyBorder="1"/>
    <xf numFmtId="166" fontId="0" fillId="0" borderId="0" xfId="0" applyNumberFormat="1" applyAlignment="1">
      <alignment horizontal="center" vertical="center"/>
    </xf>
    <xf numFmtId="44" fontId="17" fillId="0" borderId="9" xfId="1" applyFont="1" applyBorder="1" applyAlignment="1">
      <alignment horizontal="center"/>
    </xf>
    <xf numFmtId="44" fontId="17" fillId="0" borderId="75" xfId="1" applyFont="1" applyBorder="1" applyAlignment="1">
      <alignment horizontal="center"/>
    </xf>
    <xf numFmtId="44" fontId="17" fillId="0" borderId="32" xfId="1" applyFont="1" applyBorder="1" applyAlignment="1">
      <alignment vertical="center"/>
    </xf>
    <xf numFmtId="44" fontId="18" fillId="0" borderId="45" xfId="1" applyFont="1" applyBorder="1" applyAlignment="1">
      <alignment vertical="center"/>
    </xf>
    <xf numFmtId="44" fontId="17" fillId="0" borderId="48" xfId="1" applyFont="1" applyBorder="1" applyAlignment="1">
      <alignment vertical="center"/>
    </xf>
    <xf numFmtId="44" fontId="18" fillId="0" borderId="78" xfId="1" applyFont="1" applyBorder="1" applyAlignment="1">
      <alignment vertical="center"/>
    </xf>
    <xf numFmtId="0" fontId="5" fillId="0" borderId="44" xfId="0" applyFont="1" applyBorder="1" applyAlignment="1">
      <alignment horizontal="center"/>
    </xf>
    <xf numFmtId="44" fontId="17" fillId="0" borderId="29" xfId="1" applyFont="1" applyBorder="1" applyAlignment="1">
      <alignment vertical="center"/>
    </xf>
    <xf numFmtId="44" fontId="17" fillId="0" borderId="14" xfId="1" applyFont="1" applyBorder="1" applyAlignment="1">
      <alignment vertical="center"/>
    </xf>
    <xf numFmtId="49" fontId="2" fillId="0" borderId="4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vertical="center"/>
    </xf>
    <xf numFmtId="16" fontId="1" fillId="0" borderId="0" xfId="0" applyNumberFormat="1" applyFont="1" applyAlignment="1">
      <alignment horizontal="center"/>
    </xf>
    <xf numFmtId="49" fontId="2" fillId="0" borderId="63" xfId="0" applyNumberFormat="1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4" fontId="17" fillId="0" borderId="23" xfId="0" applyNumberFormat="1" applyFont="1" applyBorder="1" applyAlignment="1"/>
    <xf numFmtId="44" fontId="17" fillId="0" borderId="57" xfId="1" applyFont="1" applyBorder="1" applyAlignment="1">
      <alignment vertical="center"/>
    </xf>
    <xf numFmtId="44" fontId="17" fillId="0" borderId="61" xfId="1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44" fontId="17" fillId="0" borderId="11" xfId="0" applyNumberFormat="1" applyFont="1" applyBorder="1" applyAlignment="1"/>
    <xf numFmtId="49" fontId="2" fillId="0" borderId="19" xfId="0" applyNumberFormat="1" applyFont="1" applyBorder="1" applyAlignment="1">
      <alignment horizontal="center"/>
    </xf>
    <xf numFmtId="44" fontId="17" fillId="0" borderId="80" xfId="1" applyFont="1" applyBorder="1"/>
    <xf numFmtId="0" fontId="5" fillId="0" borderId="4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4" fontId="25" fillId="0" borderId="11" xfId="1" applyFont="1" applyBorder="1" applyAlignment="1">
      <alignment vertical="center"/>
    </xf>
    <xf numFmtId="44" fontId="18" fillId="0" borderId="11" xfId="1" applyFont="1" applyBorder="1" applyAlignment="1">
      <alignment vertical="center"/>
    </xf>
    <xf numFmtId="44" fontId="2" fillId="0" borderId="5" xfId="1" applyFont="1" applyBorder="1" applyAlignment="1">
      <alignment horizontal="center"/>
    </xf>
    <xf numFmtId="44" fontId="17" fillId="0" borderId="32" xfId="1" applyFont="1" applyBorder="1"/>
    <xf numFmtId="44" fontId="17" fillId="0" borderId="81" xfId="1" applyFont="1" applyBorder="1"/>
    <xf numFmtId="0" fontId="26" fillId="0" borderId="82" xfId="0" applyFont="1" applyBorder="1" applyAlignment="1">
      <alignment vertical="center"/>
    </xf>
    <xf numFmtId="44" fontId="1" fillId="0" borderId="0" xfId="1" applyFont="1"/>
    <xf numFmtId="0" fontId="21" fillId="0" borderId="0" xfId="0" applyFont="1" applyAlignment="1">
      <alignment horizontal="left" vertical="top"/>
    </xf>
    <xf numFmtId="0" fontId="19" fillId="0" borderId="0" xfId="0" applyFont="1" applyAlignment="1">
      <alignment horizontal="left"/>
    </xf>
    <xf numFmtId="44" fontId="17" fillId="0" borderId="47" xfId="1" applyFont="1" applyBorder="1" applyAlignment="1">
      <alignment horizontal="center"/>
    </xf>
    <xf numFmtId="0" fontId="4" fillId="0" borderId="57" xfId="0" applyFont="1" applyBorder="1" applyAlignment="1">
      <alignment horizontal="left"/>
    </xf>
    <xf numFmtId="44" fontId="17" fillId="0" borderId="57" xfId="1" applyFont="1" applyBorder="1"/>
    <xf numFmtId="44" fontId="17" fillId="0" borderId="18" xfId="1" applyFont="1" applyBorder="1" applyAlignment="1">
      <alignment horizontal="center"/>
    </xf>
    <xf numFmtId="44" fontId="17" fillId="0" borderId="79" xfId="1" applyFont="1" applyBorder="1"/>
    <xf numFmtId="44" fontId="17" fillId="0" borderId="83" xfId="1" applyFont="1" applyBorder="1"/>
    <xf numFmtId="44" fontId="17" fillId="0" borderId="83" xfId="1" applyFont="1" applyBorder="1" applyAlignment="1">
      <alignment vertical="center"/>
    </xf>
    <xf numFmtId="44" fontId="17" fillId="0" borderId="84" xfId="1" applyFont="1" applyBorder="1"/>
    <xf numFmtId="0" fontId="5" fillId="0" borderId="4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4" fontId="1" fillId="0" borderId="0" xfId="1" applyBorder="1" applyAlignment="1">
      <alignment horizontal="center"/>
    </xf>
    <xf numFmtId="44" fontId="1" fillId="0" borderId="0" xfId="1" applyBorder="1"/>
    <xf numFmtId="44" fontId="9" fillId="0" borderId="41" xfId="1" applyFont="1" applyBorder="1" applyAlignment="1">
      <alignment horizontal="center" vertical="center"/>
    </xf>
    <xf numFmtId="0" fontId="0" fillId="0" borderId="0" xfId="0" applyBorder="1"/>
    <xf numFmtId="44" fontId="25" fillId="0" borderId="23" xfId="1" applyFont="1" applyBorder="1" applyAlignment="1">
      <alignment vertical="center"/>
    </xf>
    <xf numFmtId="166" fontId="0" fillId="0" borderId="0" xfId="0" applyNumberFormat="1"/>
    <xf numFmtId="0" fontId="2" fillId="0" borderId="0" xfId="0" applyFont="1"/>
    <xf numFmtId="44" fontId="17" fillId="0" borderId="85" xfId="1" applyFont="1" applyBorder="1" applyAlignment="1">
      <alignment vertical="center"/>
    </xf>
    <xf numFmtId="0" fontId="19" fillId="0" borderId="0" xfId="0" applyFont="1" applyBorder="1" applyAlignment="1">
      <alignment horizontal="left"/>
    </xf>
    <xf numFmtId="0" fontId="21" fillId="0" borderId="0" xfId="0" applyFont="1" applyBorder="1" applyAlignment="1">
      <alignment horizontal="left" vertical="top"/>
    </xf>
    <xf numFmtId="0" fontId="5" fillId="0" borderId="4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4" fontId="17" fillId="0" borderId="84" xfId="1" applyFont="1" applyBorder="1" applyAlignment="1">
      <alignment vertical="center"/>
    </xf>
    <xf numFmtId="44" fontId="18" fillId="0" borderId="7" xfId="1" applyFont="1" applyBorder="1" applyAlignment="1">
      <alignment vertical="center"/>
    </xf>
    <xf numFmtId="44" fontId="18" fillId="0" borderId="86" xfId="1" applyFont="1" applyBorder="1" applyAlignment="1">
      <alignment vertical="center"/>
    </xf>
    <xf numFmtId="44" fontId="17" fillId="0" borderId="56" xfId="1" applyFont="1" applyBorder="1" applyAlignment="1">
      <alignment horizontal="center"/>
    </xf>
    <xf numFmtId="44" fontId="25" fillId="0" borderId="7" xfId="1" applyFont="1" applyBorder="1" applyAlignment="1">
      <alignment vertical="center"/>
    </xf>
    <xf numFmtId="44" fontId="0" fillId="0" borderId="0" xfId="0" applyNumberFormat="1"/>
    <xf numFmtId="16" fontId="1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left" indent="1"/>
    </xf>
    <xf numFmtId="44" fontId="17" fillId="0" borderId="12" xfId="1" applyFont="1" applyBorder="1" applyAlignment="1">
      <alignment horizontal="center"/>
    </xf>
    <xf numFmtId="0" fontId="5" fillId="0" borderId="32" xfId="0" applyFont="1" applyBorder="1" applyAlignment="1">
      <alignment vertical="center"/>
    </xf>
    <xf numFmtId="16" fontId="0" fillId="0" borderId="0" xfId="0" applyNumberFormat="1" applyBorder="1" applyAlignment="1">
      <alignment horizontal="center"/>
    </xf>
    <xf numFmtId="0" fontId="5" fillId="0" borderId="4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167" fontId="0" fillId="0" borderId="0" xfId="0" applyNumberFormat="1"/>
    <xf numFmtId="0" fontId="26" fillId="0" borderId="87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67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4" fontId="28" fillId="0" borderId="0" xfId="0" applyNumberFormat="1" applyFont="1"/>
    <xf numFmtId="44" fontId="17" fillId="0" borderId="79" xfId="1" applyFont="1" applyBorder="1" applyAlignment="1">
      <alignment vertical="center"/>
    </xf>
    <xf numFmtId="0" fontId="5" fillId="0" borderId="4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4" fontId="17" fillId="0" borderId="88" xfId="1" applyFont="1" applyBorder="1"/>
    <xf numFmtId="0" fontId="5" fillId="0" borderId="4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4" fontId="2" fillId="0" borderId="19" xfId="1" applyFont="1" applyBorder="1" applyAlignment="1">
      <alignment horizontal="center"/>
    </xf>
    <xf numFmtId="44" fontId="17" fillId="0" borderId="17" xfId="1" applyFont="1" applyBorder="1"/>
    <xf numFmtId="44" fontId="17" fillId="0" borderId="12" xfId="1" applyFont="1" applyBorder="1" applyAlignment="1">
      <alignment vertical="center"/>
    </xf>
    <xf numFmtId="44" fontId="17" fillId="0" borderId="55" xfId="1" applyFont="1" applyBorder="1"/>
    <xf numFmtId="44" fontId="18" fillId="0" borderId="11" xfId="1" applyFont="1" applyFill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8" fillId="0" borderId="7" xfId="1" applyFont="1" applyFill="1" applyBorder="1" applyAlignment="1">
      <alignment vertical="center"/>
    </xf>
    <xf numFmtId="44" fontId="17" fillId="0" borderId="32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44" fontId="1" fillId="0" borderId="0" xfId="1" applyFill="1" applyAlignment="1">
      <alignment horizontal="center"/>
    </xf>
    <xf numFmtId="44" fontId="1" fillId="0" borderId="0" xfId="1" applyFill="1"/>
    <xf numFmtId="44" fontId="1" fillId="0" borderId="0" xfId="1" applyFill="1" applyBorder="1" applyAlignment="1">
      <alignment horizontal="center"/>
    </xf>
    <xf numFmtId="44" fontId="1" fillId="0" borderId="0" xfId="1" applyFill="1" applyBorder="1"/>
    <xf numFmtId="44" fontId="9" fillId="0" borderId="38" xfId="1" applyFont="1" applyFill="1" applyBorder="1" applyAlignment="1">
      <alignment horizontal="center" vertical="center"/>
    </xf>
    <xf numFmtId="44" fontId="9" fillId="0" borderId="41" xfId="1" applyFont="1" applyFill="1" applyBorder="1" applyAlignment="1">
      <alignment horizontal="center" vertical="center"/>
    </xf>
    <xf numFmtId="44" fontId="9" fillId="0" borderId="44" xfId="1" applyFont="1" applyFill="1" applyBorder="1" applyAlignment="1">
      <alignment horizontal="center" vertical="center"/>
    </xf>
    <xf numFmtId="44" fontId="25" fillId="0" borderId="11" xfId="1" applyFont="1" applyFill="1" applyBorder="1" applyAlignment="1">
      <alignment vertical="center"/>
    </xf>
    <xf numFmtId="44" fontId="18" fillId="0" borderId="70" xfId="1" applyFont="1" applyFill="1" applyBorder="1" applyAlignment="1">
      <alignment vertical="center"/>
    </xf>
    <xf numFmtId="44" fontId="5" fillId="0" borderId="0" xfId="1" applyFont="1" applyFill="1" applyBorder="1"/>
    <xf numFmtId="44" fontId="1" fillId="0" borderId="0" xfId="1" applyFont="1" applyFill="1"/>
    <xf numFmtId="49" fontId="2" fillId="0" borderId="24" xfId="0" applyNumberFormat="1" applyFont="1" applyFill="1" applyBorder="1" applyAlignment="1">
      <alignment horizontal="center"/>
    </xf>
    <xf numFmtId="44" fontId="2" fillId="0" borderId="19" xfId="1" applyFont="1" applyFill="1" applyBorder="1" applyAlignment="1">
      <alignment horizontal="center"/>
    </xf>
    <xf numFmtId="44" fontId="17" fillId="0" borderId="13" xfId="1" applyFont="1" applyFill="1" applyBorder="1" applyAlignment="1">
      <alignment horizontal="center"/>
    </xf>
    <xf numFmtId="44" fontId="17" fillId="0" borderId="9" xfId="1" applyFont="1" applyFill="1" applyBorder="1" applyAlignment="1">
      <alignment horizontal="center"/>
    </xf>
    <xf numFmtId="44" fontId="17" fillId="0" borderId="9" xfId="1" applyFont="1" applyFill="1" applyBorder="1" applyAlignment="1">
      <alignment vertical="center"/>
    </xf>
    <xf numFmtId="44" fontId="17" fillId="0" borderId="11" xfId="1" applyFont="1" applyFill="1" applyBorder="1" applyAlignment="1">
      <alignment horizontal="center"/>
    </xf>
    <xf numFmtId="44" fontId="17" fillId="0" borderId="1" xfId="1" applyFont="1" applyFill="1" applyBorder="1" applyAlignment="1">
      <alignment horizontal="center"/>
    </xf>
    <xf numFmtId="44" fontId="17" fillId="0" borderId="1" xfId="1" applyFont="1" applyFill="1" applyBorder="1" applyAlignment="1">
      <alignment vertical="center"/>
    </xf>
    <xf numFmtId="44" fontId="17" fillId="0" borderId="15" xfId="1" applyFont="1" applyFill="1" applyBorder="1" applyAlignment="1">
      <alignment horizontal="center"/>
    </xf>
    <xf numFmtId="44" fontId="17" fillId="0" borderId="12" xfId="1" applyFont="1" applyFill="1" applyBorder="1" applyAlignment="1">
      <alignment horizontal="center"/>
    </xf>
    <xf numFmtId="44" fontId="17" fillId="0" borderId="12" xfId="1" applyFont="1" applyFill="1" applyBorder="1" applyAlignment="1">
      <alignment vertical="center"/>
    </xf>
    <xf numFmtId="44" fontId="17" fillId="0" borderId="16" xfId="1" applyFont="1" applyFill="1" applyBorder="1" applyAlignment="1">
      <alignment horizontal="center"/>
    </xf>
    <xf numFmtId="44" fontId="17" fillId="0" borderId="75" xfId="1" applyFont="1" applyFill="1" applyBorder="1" applyAlignment="1">
      <alignment horizontal="center"/>
    </xf>
    <xf numFmtId="44" fontId="17" fillId="0" borderId="75" xfId="1" applyFont="1" applyFill="1" applyBorder="1"/>
    <xf numFmtId="44" fontId="17" fillId="0" borderId="21" xfId="1" applyFont="1" applyFill="1" applyBorder="1"/>
    <xf numFmtId="44" fontId="17" fillId="0" borderId="80" xfId="1" applyFont="1" applyFill="1" applyBorder="1"/>
    <xf numFmtId="0" fontId="1" fillId="0" borderId="0" xfId="0" applyFont="1" applyFill="1" applyBorder="1"/>
    <xf numFmtId="49" fontId="2" fillId="0" borderId="68" xfId="0" applyNumberFormat="1" applyFont="1" applyBorder="1" applyAlignment="1">
      <alignment horizontal="center"/>
    </xf>
    <xf numFmtId="44" fontId="9" fillId="0" borderId="0" xfId="1" applyFont="1" applyFill="1" applyBorder="1" applyAlignment="1">
      <alignment horizontal="center" wrapText="1"/>
    </xf>
    <xf numFmtId="44" fontId="17" fillId="0" borderId="48" xfId="1" applyFont="1" applyFill="1" applyBorder="1"/>
    <xf numFmtId="44" fontId="17" fillId="0" borderId="55" xfId="1" applyFont="1" applyFill="1" applyBorder="1"/>
    <xf numFmtId="0" fontId="4" fillId="0" borderId="10" xfId="0" applyFont="1" applyBorder="1" applyAlignment="1">
      <alignment horizontal="center"/>
    </xf>
    <xf numFmtId="44" fontId="8" fillId="0" borderId="0" xfId="0" applyNumberFormat="1" applyFont="1" applyBorder="1"/>
    <xf numFmtId="165" fontId="27" fillId="0" borderId="0" xfId="2" applyFont="1" applyBorder="1" applyAlignment="1">
      <alignment horizontal="center"/>
    </xf>
    <xf numFmtId="0" fontId="8" fillId="0" borderId="0" xfId="0" applyFont="1" applyBorder="1"/>
    <xf numFmtId="0" fontId="0" fillId="0" borderId="0" xfId="0" applyAlignment="1">
      <alignment horizontal="left" indent="1"/>
    </xf>
    <xf numFmtId="0" fontId="13" fillId="0" borderId="0" xfId="0" applyFont="1" applyAlignment="1">
      <alignment horizontal="left" indent="1"/>
    </xf>
    <xf numFmtId="0" fontId="8" fillId="0" borderId="0" xfId="0" applyFont="1" applyAlignment="1">
      <alignment horizontal="left" indent="1"/>
    </xf>
    <xf numFmtId="44" fontId="8" fillId="0" borderId="0" xfId="0" applyNumberFormat="1" applyFont="1"/>
    <xf numFmtId="49" fontId="0" fillId="0" borderId="0" xfId="0" applyNumberFormat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4" fontId="17" fillId="0" borderId="15" xfId="0" applyNumberFormat="1" applyFont="1" applyBorder="1" applyAlignment="1"/>
    <xf numFmtId="49" fontId="4" fillId="0" borderId="12" xfId="0" applyNumberFormat="1" applyFont="1" applyBorder="1" applyAlignment="1">
      <alignment vertical="center"/>
    </xf>
    <xf numFmtId="49" fontId="4" fillId="0" borderId="46" xfId="0" applyNumberFormat="1" applyFont="1" applyBorder="1" applyAlignment="1">
      <alignment vertical="center"/>
    </xf>
    <xf numFmtId="0" fontId="5" fillId="0" borderId="4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4" fontId="17" fillId="0" borderId="42" xfId="1" applyFont="1" applyFill="1" applyBorder="1" applyAlignment="1">
      <alignment vertical="center"/>
    </xf>
    <xf numFmtId="44" fontId="17" fillId="0" borderId="40" xfId="1" applyFont="1" applyFill="1" applyBorder="1" applyAlignment="1">
      <alignment vertical="center"/>
    </xf>
    <xf numFmtId="44" fontId="17" fillId="0" borderId="57" xfId="1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44" fontId="17" fillId="0" borderId="88" xfId="1" applyFont="1" applyBorder="1" applyAlignment="1">
      <alignment vertical="center"/>
    </xf>
    <xf numFmtId="44" fontId="30" fillId="0" borderId="0" xfId="0" applyNumberFormat="1" applyFont="1" applyAlignment="1">
      <alignment vertical="center"/>
    </xf>
    <xf numFmtId="165" fontId="30" fillId="0" borderId="0" xfId="2" applyFont="1" applyAlignment="1">
      <alignment vertical="center"/>
    </xf>
    <xf numFmtId="0" fontId="9" fillId="0" borderId="72" xfId="0" applyFont="1" applyBorder="1" applyAlignment="1">
      <alignment horizontal="center" vertical="center"/>
    </xf>
    <xf numFmtId="44" fontId="6" fillId="0" borderId="15" xfId="1" applyFont="1" applyBorder="1" applyAlignment="1">
      <alignment vertical="center"/>
    </xf>
    <xf numFmtId="44" fontId="6" fillId="0" borderId="12" xfId="1" applyFont="1" applyBorder="1" applyAlignment="1">
      <alignment vertical="center"/>
    </xf>
    <xf numFmtId="44" fontId="6" fillId="0" borderId="79" xfId="1" applyFont="1" applyBorder="1" applyAlignment="1">
      <alignment vertical="center"/>
    </xf>
    <xf numFmtId="44" fontId="25" fillId="0" borderId="23" xfId="1" applyFont="1" applyFill="1" applyBorder="1" applyAlignment="1">
      <alignment vertical="center"/>
    </xf>
    <xf numFmtId="44" fontId="17" fillId="0" borderId="56" xfId="1" applyFont="1" applyBorder="1" applyAlignment="1">
      <alignment vertical="center"/>
    </xf>
    <xf numFmtId="164" fontId="8" fillId="0" borderId="0" xfId="0" applyNumberFormat="1" applyFont="1"/>
    <xf numFmtId="44" fontId="17" fillId="0" borderId="18" xfId="1" applyFont="1" applyBorder="1" applyAlignment="1">
      <alignment vertical="center"/>
    </xf>
    <xf numFmtId="44" fontId="17" fillId="0" borderId="18" xfId="1" applyFont="1" applyFill="1" applyBorder="1" applyAlignment="1">
      <alignment vertical="center"/>
    </xf>
    <xf numFmtId="44" fontId="17" fillId="0" borderId="75" xfId="1" applyFont="1" applyFill="1" applyBorder="1" applyAlignment="1">
      <alignment vertical="center"/>
    </xf>
    <xf numFmtId="164" fontId="6" fillId="0" borderId="0" xfId="0" applyNumberFormat="1" applyFont="1"/>
    <xf numFmtId="44" fontId="2" fillId="0" borderId="0" xfId="1" applyFont="1"/>
    <xf numFmtId="0" fontId="5" fillId="0" borderId="4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4" fontId="17" fillId="0" borderId="51" xfId="1" applyFont="1" applyBorder="1" applyAlignment="1">
      <alignment vertical="center"/>
    </xf>
    <xf numFmtId="44" fontId="17" fillId="0" borderId="47" xfId="1" applyFont="1" applyBorder="1" applyAlignment="1">
      <alignment vertical="center"/>
    </xf>
    <xf numFmtId="44" fontId="17" fillId="0" borderId="48" xfId="1" applyFont="1" applyFill="1" applyBorder="1" applyAlignment="1">
      <alignment vertical="center"/>
    </xf>
    <xf numFmtId="44" fontId="17" fillId="0" borderId="3" xfId="1" applyFont="1" applyFill="1" applyBorder="1" applyAlignment="1">
      <alignment vertical="center"/>
    </xf>
    <xf numFmtId="167" fontId="0" fillId="0" borderId="0" xfId="0" applyNumberFormat="1" applyBorder="1"/>
    <xf numFmtId="44" fontId="2" fillId="0" borderId="25" xfId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4" fontId="2" fillId="0" borderId="24" xfId="1" applyFont="1" applyFill="1" applyBorder="1" applyAlignment="1">
      <alignment horizontal="center"/>
    </xf>
    <xf numFmtId="44" fontId="17" fillId="0" borderId="13" xfId="1" applyFont="1" applyFill="1" applyBorder="1" applyAlignment="1">
      <alignment vertical="center"/>
    </xf>
    <xf numFmtId="44" fontId="17" fillId="0" borderId="15" xfId="1" applyFont="1" applyFill="1" applyBorder="1" applyAlignment="1">
      <alignment vertical="center"/>
    </xf>
    <xf numFmtId="44" fontId="17" fillId="0" borderId="16" xfId="1" applyFont="1" applyFill="1" applyBorder="1"/>
    <xf numFmtId="44" fontId="25" fillId="0" borderId="48" xfId="1" applyFont="1" applyBorder="1" applyAlignment="1">
      <alignment vertical="center"/>
    </xf>
    <xf numFmtId="49" fontId="2" fillId="0" borderId="25" xfId="0" applyNumberFormat="1" applyFont="1" applyBorder="1" applyAlignment="1">
      <alignment horizontal="center"/>
    </xf>
    <xf numFmtId="44" fontId="2" fillId="0" borderId="63" xfId="1" applyFont="1" applyBorder="1" applyAlignment="1">
      <alignment horizontal="center"/>
    </xf>
    <xf numFmtId="44" fontId="18" fillId="0" borderId="23" xfId="1" applyFont="1" applyBorder="1" applyAlignment="1">
      <alignment vertical="center"/>
    </xf>
    <xf numFmtId="44" fontId="17" fillId="0" borderId="42" xfId="1" applyFont="1" applyBorder="1"/>
    <xf numFmtId="44" fontId="18" fillId="0" borderId="90" xfId="1" applyFont="1" applyBorder="1" applyAlignment="1">
      <alignment vertical="center"/>
    </xf>
    <xf numFmtId="44" fontId="13" fillId="0" borderId="0" xfId="0" applyNumberFormat="1" applyFont="1"/>
    <xf numFmtId="44" fontId="25" fillId="0" borderId="31" xfId="1" applyFont="1" applyBorder="1" applyAlignment="1">
      <alignment vertical="center"/>
    </xf>
    <xf numFmtId="16" fontId="13" fillId="0" borderId="0" xfId="0" applyNumberFormat="1" applyFont="1" applyAlignment="1">
      <alignment horizontal="center"/>
    </xf>
    <xf numFmtId="44" fontId="17" fillId="0" borderId="50" xfId="1" applyFont="1" applyBorder="1" applyAlignment="1">
      <alignment vertical="center"/>
    </xf>
    <xf numFmtId="44" fontId="17" fillId="0" borderId="4" xfId="1" applyFont="1" applyBorder="1"/>
    <xf numFmtId="44" fontId="17" fillId="0" borderId="91" xfId="1" applyFont="1" applyBorder="1"/>
    <xf numFmtId="44" fontId="17" fillId="0" borderId="64" xfId="1" applyFont="1" applyBorder="1"/>
    <xf numFmtId="44" fontId="17" fillId="0" borderId="32" xfId="1" applyFont="1" applyBorder="1" applyAlignment="1">
      <alignment horizontal="center"/>
    </xf>
    <xf numFmtId="44" fontId="17" fillId="0" borderId="0" xfId="1" applyFont="1" applyBorder="1" applyAlignment="1">
      <alignment horizontal="center"/>
    </xf>
    <xf numFmtId="44" fontId="17" fillId="0" borderId="54" xfId="1" applyFont="1" applyBorder="1" applyAlignment="1">
      <alignment horizontal="center"/>
    </xf>
    <xf numFmtId="44" fontId="17" fillId="0" borderId="40" xfId="1" applyFont="1" applyBorder="1" applyAlignment="1">
      <alignment horizontal="center"/>
    </xf>
    <xf numFmtId="44" fontId="9" fillId="0" borderId="0" xfId="1" applyFont="1" applyBorder="1" applyAlignment="1">
      <alignment horizontal="center" wrapText="1"/>
    </xf>
    <xf numFmtId="44" fontId="17" fillId="0" borderId="31" xfId="0" applyNumberFormat="1" applyFont="1" applyBorder="1" applyAlignment="1"/>
    <xf numFmtId="44" fontId="2" fillId="0" borderId="26" xfId="1" applyFont="1" applyBorder="1" applyAlignment="1">
      <alignment horizontal="center"/>
    </xf>
    <xf numFmtId="44" fontId="17" fillId="0" borderId="59" xfId="0" applyNumberFormat="1" applyFont="1" applyBorder="1" applyAlignment="1"/>
    <xf numFmtId="0" fontId="4" fillId="0" borderId="79" xfId="0" applyFont="1" applyBorder="1" applyAlignment="1">
      <alignment horizontal="center"/>
    </xf>
    <xf numFmtId="44" fontId="17" fillId="0" borderId="15" xfId="1" applyFont="1" applyBorder="1" applyAlignment="1">
      <alignment vertical="center"/>
    </xf>
    <xf numFmtId="44" fontId="17" fillId="0" borderId="43" xfId="1" applyFont="1" applyFill="1" applyBorder="1"/>
    <xf numFmtId="0" fontId="4" fillId="0" borderId="42" xfId="0" applyFont="1" applyBorder="1" applyAlignment="1">
      <alignment horizontal="center"/>
    </xf>
    <xf numFmtId="44" fontId="2" fillId="0" borderId="58" xfId="1" applyFont="1" applyFill="1" applyBorder="1" applyAlignment="1">
      <alignment horizontal="center"/>
    </xf>
    <xf numFmtId="44" fontId="17" fillId="0" borderId="52" xfId="1" applyFont="1" applyFill="1" applyBorder="1"/>
    <xf numFmtId="44" fontId="17" fillId="0" borderId="44" xfId="1" applyFont="1" applyFill="1" applyBorder="1"/>
    <xf numFmtId="44" fontId="17" fillId="0" borderId="9" xfId="1" applyFont="1" applyFill="1" applyBorder="1"/>
    <xf numFmtId="44" fontId="17" fillId="0" borderId="1" xfId="1" applyFont="1" applyFill="1" applyBorder="1"/>
    <xf numFmtId="49" fontId="9" fillId="0" borderId="41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4" fontId="18" fillId="0" borderId="15" xfId="1" applyFont="1" applyFill="1" applyBorder="1" applyAlignment="1">
      <alignment vertical="center"/>
    </xf>
    <xf numFmtId="44" fontId="17" fillId="0" borderId="84" xfId="1" applyFont="1" applyFill="1" applyBorder="1" applyAlignment="1">
      <alignment vertical="center"/>
    </xf>
    <xf numFmtId="44" fontId="18" fillId="0" borderId="18" xfId="1" applyFont="1" applyFill="1" applyBorder="1" applyAlignment="1">
      <alignment vertical="center"/>
    </xf>
    <xf numFmtId="44" fontId="17" fillId="0" borderId="79" xfId="1" applyFont="1" applyFill="1" applyBorder="1" applyAlignment="1">
      <alignment vertical="center"/>
    </xf>
    <xf numFmtId="44" fontId="17" fillId="0" borderId="72" xfId="1" applyFont="1" applyBorder="1" applyAlignment="1">
      <alignment vertical="center"/>
    </xf>
    <xf numFmtId="44" fontId="17" fillId="0" borderId="23" xfId="1" applyFont="1" applyFill="1" applyBorder="1" applyAlignment="1">
      <alignment vertical="center"/>
    </xf>
    <xf numFmtId="44" fontId="18" fillId="0" borderId="40" xfId="1" applyFont="1" applyFill="1" applyBorder="1" applyAlignment="1">
      <alignment vertical="center"/>
    </xf>
    <xf numFmtId="44" fontId="17" fillId="0" borderId="40" xfId="1" applyFont="1" applyBorder="1" applyAlignment="1">
      <alignment vertical="center"/>
    </xf>
    <xf numFmtId="44" fontId="17" fillId="0" borderId="60" xfId="1" applyFont="1" applyBorder="1" applyAlignment="1">
      <alignment vertical="center"/>
    </xf>
    <xf numFmtId="44" fontId="17" fillId="0" borderId="52" xfId="1" applyFont="1" applyBorder="1"/>
    <xf numFmtId="44" fontId="17" fillId="0" borderId="48" xfId="1" applyFont="1" applyBorder="1"/>
    <xf numFmtId="44" fontId="17" fillId="0" borderId="15" xfId="1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4" fillId="0" borderId="57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center"/>
    </xf>
    <xf numFmtId="44" fontId="17" fillId="0" borderId="75" xfId="1" applyFont="1" applyBorder="1" applyAlignment="1">
      <alignment vertical="center"/>
    </xf>
    <xf numFmtId="44" fontId="18" fillId="0" borderId="15" xfId="1" applyFont="1" applyBorder="1" applyAlignment="1">
      <alignment vertical="center"/>
    </xf>
    <xf numFmtId="44" fontId="25" fillId="0" borderId="15" xfId="1" applyFont="1" applyBorder="1" applyAlignment="1">
      <alignment vertical="center"/>
    </xf>
    <xf numFmtId="0" fontId="4" fillId="0" borderId="83" xfId="0" applyFont="1" applyBorder="1" applyAlignment="1">
      <alignment horizontal="center"/>
    </xf>
    <xf numFmtId="44" fontId="17" fillId="0" borderId="65" xfId="1" applyFont="1" applyBorder="1" applyAlignment="1">
      <alignment vertical="center"/>
    </xf>
    <xf numFmtId="44" fontId="25" fillId="0" borderId="65" xfId="1" applyFont="1" applyBorder="1" applyAlignment="1">
      <alignment vertical="center"/>
    </xf>
    <xf numFmtId="44" fontId="17" fillId="0" borderId="92" xfId="1" applyFont="1" applyBorder="1" applyAlignment="1">
      <alignment vertical="center"/>
    </xf>
    <xf numFmtId="0" fontId="4" fillId="0" borderId="85" xfId="0" applyFont="1" applyBorder="1" applyAlignment="1">
      <alignment horizontal="center"/>
    </xf>
    <xf numFmtId="44" fontId="25" fillId="0" borderId="18" xfId="1" applyFont="1" applyBorder="1" applyAlignment="1">
      <alignment vertical="center"/>
    </xf>
    <xf numFmtId="44" fontId="25" fillId="0" borderId="89" xfId="1" applyFont="1" applyBorder="1" applyAlignment="1">
      <alignment vertical="center"/>
    </xf>
    <xf numFmtId="44" fontId="18" fillId="0" borderId="89" xfId="1" applyFont="1" applyBorder="1" applyAlignment="1">
      <alignment vertical="center"/>
    </xf>
    <xf numFmtId="44" fontId="18" fillId="0" borderId="40" xfId="1" applyFont="1" applyBorder="1" applyAlignment="1">
      <alignment vertical="center"/>
    </xf>
    <xf numFmtId="44" fontId="18" fillId="0" borderId="65" xfId="1" applyFont="1" applyBorder="1" applyAlignment="1">
      <alignment vertical="center"/>
    </xf>
    <xf numFmtId="44" fontId="17" fillId="0" borderId="89" xfId="1" applyFont="1" applyBorder="1" applyAlignment="1">
      <alignment vertical="center"/>
    </xf>
    <xf numFmtId="0" fontId="5" fillId="0" borderId="0" xfId="0" applyFont="1" applyBorder="1" applyAlignment="1"/>
    <xf numFmtId="44" fontId="25" fillId="0" borderId="65" xfId="1" applyFont="1" applyFill="1" applyBorder="1" applyAlignment="1">
      <alignment vertical="center"/>
    </xf>
    <xf numFmtId="44" fontId="17" fillId="0" borderId="85" xfId="1" applyFont="1" applyFill="1" applyBorder="1" applyAlignment="1">
      <alignment vertical="center"/>
    </xf>
    <xf numFmtId="44" fontId="17" fillId="0" borderId="83" xfId="1" applyFont="1" applyFill="1" applyBorder="1" applyAlignment="1">
      <alignment vertical="center"/>
    </xf>
    <xf numFmtId="44" fontId="25" fillId="0" borderId="15" xfId="1" applyFont="1" applyFill="1" applyBorder="1" applyAlignment="1">
      <alignment vertical="center"/>
    </xf>
    <xf numFmtId="44" fontId="17" fillId="0" borderId="65" xfId="1" applyFont="1" applyFill="1" applyBorder="1" applyAlignment="1">
      <alignment vertical="center"/>
    </xf>
    <xf numFmtId="44" fontId="18" fillId="0" borderId="65" xfId="1" applyFont="1" applyFill="1" applyBorder="1" applyAlignment="1">
      <alignment vertical="center"/>
    </xf>
    <xf numFmtId="44" fontId="18" fillId="0" borderId="89" xfId="1" applyFont="1" applyFill="1" applyBorder="1" applyAlignment="1">
      <alignment vertical="center"/>
    </xf>
    <xf numFmtId="44" fontId="17" fillId="0" borderId="94" xfId="1" applyFont="1" applyBorder="1" applyAlignment="1">
      <alignment vertical="center"/>
    </xf>
    <xf numFmtId="44" fontId="25" fillId="0" borderId="40" xfId="1" applyFont="1" applyBorder="1" applyAlignment="1">
      <alignment vertical="center"/>
    </xf>
    <xf numFmtId="44" fontId="17" fillId="0" borderId="77" xfId="1" applyFont="1" applyBorder="1" applyAlignment="1">
      <alignment vertical="center"/>
    </xf>
    <xf numFmtId="0" fontId="4" fillId="0" borderId="83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44" fontId="17" fillId="0" borderId="24" xfId="1" applyFont="1" applyBorder="1" applyAlignment="1">
      <alignment vertical="center"/>
    </xf>
    <xf numFmtId="44" fontId="17" fillId="0" borderId="25" xfId="1" applyFont="1" applyBorder="1" applyAlignment="1">
      <alignment vertical="center"/>
    </xf>
    <xf numFmtId="44" fontId="17" fillId="0" borderId="20" xfId="1" applyFont="1" applyBorder="1" applyAlignment="1">
      <alignment vertical="center"/>
    </xf>
    <xf numFmtId="44" fontId="17" fillId="0" borderId="58" xfId="1" applyFont="1" applyBorder="1" applyAlignment="1">
      <alignment vertical="center"/>
    </xf>
    <xf numFmtId="44" fontId="17" fillId="0" borderId="93" xfId="1" applyFont="1" applyBorder="1" applyAlignment="1">
      <alignment vertical="center"/>
    </xf>
    <xf numFmtId="44" fontId="17" fillId="0" borderId="89" xfId="1" applyFont="1" applyFill="1" applyBorder="1" applyAlignment="1">
      <alignment vertical="center"/>
    </xf>
    <xf numFmtId="44" fontId="17" fillId="0" borderId="77" xfId="1" applyFont="1" applyFill="1" applyBorder="1" applyAlignment="1">
      <alignment vertical="center"/>
    </xf>
    <xf numFmtId="44" fontId="25" fillId="0" borderId="49" xfId="1" applyFont="1" applyFill="1" applyBorder="1" applyAlignment="1">
      <alignment vertical="center"/>
    </xf>
    <xf numFmtId="44" fontId="17" fillId="0" borderId="60" xfId="1" applyFont="1" applyFill="1" applyBorder="1" applyAlignment="1">
      <alignment vertical="center"/>
    </xf>
    <xf numFmtId="44" fontId="2" fillId="0" borderId="58" xfId="1" applyFont="1" applyBorder="1" applyAlignment="1">
      <alignment horizontal="center"/>
    </xf>
    <xf numFmtId="44" fontId="17" fillId="0" borderId="52" xfId="1" applyFont="1" applyBorder="1" applyAlignment="1">
      <alignment vertical="center"/>
    </xf>
    <xf numFmtId="16" fontId="8" fillId="0" borderId="0" xfId="0" applyNumberFormat="1" applyFont="1" applyBorder="1" applyAlignment="1">
      <alignment horizontal="center"/>
    </xf>
    <xf numFmtId="164" fontId="8" fillId="0" borderId="0" xfId="0" applyNumberFormat="1" applyFont="1" applyBorder="1"/>
    <xf numFmtId="44" fontId="2" fillId="0" borderId="0" xfId="1" applyFont="1" applyBorder="1"/>
    <xf numFmtId="44" fontId="17" fillId="0" borderId="55" xfId="1" applyFont="1" applyBorder="1" applyAlignment="1">
      <alignment vertical="center"/>
    </xf>
    <xf numFmtId="44" fontId="25" fillId="0" borderId="49" xfId="1" applyFont="1" applyBorder="1" applyAlignment="1">
      <alignment vertical="center"/>
    </xf>
    <xf numFmtId="44" fontId="17" fillId="0" borderId="23" xfId="1" applyFont="1" applyFill="1" applyBorder="1" applyAlignment="1">
      <alignment horizontal="center"/>
    </xf>
    <xf numFmtId="44" fontId="17" fillId="0" borderId="3" xfId="1" applyFont="1" applyFill="1" applyBorder="1" applyAlignment="1">
      <alignment horizontal="center"/>
    </xf>
    <xf numFmtId="44" fontId="17" fillId="0" borderId="3" xfId="1" applyFont="1" applyBorder="1" applyAlignment="1">
      <alignment vertical="center"/>
    </xf>
    <xf numFmtId="49" fontId="2" fillId="0" borderId="68" xfId="0" applyNumberFormat="1" applyFont="1" applyFill="1" applyBorder="1" applyAlignment="1">
      <alignment horizontal="center"/>
    </xf>
    <xf numFmtId="44" fontId="17" fillId="0" borderId="69" xfId="1" applyFont="1" applyFill="1" applyBorder="1" applyAlignment="1">
      <alignment horizontal="center"/>
    </xf>
    <xf numFmtId="44" fontId="17" fillId="0" borderId="40" xfId="1" applyFont="1" applyFill="1" applyBorder="1" applyAlignment="1">
      <alignment horizontal="center"/>
    </xf>
    <xf numFmtId="44" fontId="17" fillId="0" borderId="7" xfId="1" applyFont="1" applyFill="1" applyBorder="1" applyAlignment="1">
      <alignment horizontal="center"/>
    </xf>
    <xf numFmtId="44" fontId="17" fillId="0" borderId="18" xfId="1" applyFont="1" applyFill="1" applyBorder="1" applyAlignment="1">
      <alignment horizontal="center"/>
    </xf>
    <xf numFmtId="44" fontId="17" fillId="0" borderId="74" xfId="1" applyFont="1" applyFill="1" applyBorder="1" applyAlignment="1">
      <alignment horizontal="center"/>
    </xf>
    <xf numFmtId="0" fontId="13" fillId="0" borderId="0" xfId="0" applyFont="1" applyBorder="1" applyAlignment="1">
      <alignment horizontal="left" indent="1"/>
    </xf>
    <xf numFmtId="44" fontId="17" fillId="0" borderId="54" xfId="1" applyFont="1" applyBorder="1" applyAlignment="1">
      <alignment vertical="center"/>
    </xf>
    <xf numFmtId="44" fontId="17" fillId="0" borderId="81" xfId="1" applyFont="1" applyBorder="1" applyAlignment="1">
      <alignment vertical="center"/>
    </xf>
    <xf numFmtId="44" fontId="17" fillId="0" borderId="2" xfId="1" applyFont="1" applyFill="1" applyBorder="1" applyAlignment="1">
      <alignment vertical="center"/>
    </xf>
    <xf numFmtId="44" fontId="9" fillId="0" borderId="0" xfId="1" applyFont="1" applyBorder="1" applyAlignment="1">
      <alignment horizontal="center" wrapText="1"/>
    </xf>
    <xf numFmtId="44" fontId="13" fillId="0" borderId="0" xfId="1" applyFont="1" applyAlignment="1">
      <alignment horizontal="right"/>
    </xf>
    <xf numFmtId="44" fontId="17" fillId="0" borderId="9" xfId="1" applyFont="1" applyBorder="1"/>
    <xf numFmtId="44" fontId="17" fillId="0" borderId="13" xfId="0" applyNumberFormat="1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44" fontId="17" fillId="0" borderId="61" xfId="1" applyFont="1" applyBorder="1"/>
    <xf numFmtId="44" fontId="17" fillId="0" borderId="3" xfId="1" applyFont="1" applyBorder="1"/>
    <xf numFmtId="44" fontId="17" fillId="0" borderId="12" xfId="1" applyFont="1" applyBorder="1"/>
    <xf numFmtId="44" fontId="17" fillId="0" borderId="51" xfId="1" applyFont="1" applyBorder="1" applyAlignment="1">
      <alignment horizontal="center"/>
    </xf>
    <xf numFmtId="44" fontId="17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17" fillId="0" borderId="56" xfId="1" applyFont="1" applyBorder="1"/>
    <xf numFmtId="44" fontId="18" fillId="0" borderId="24" xfId="1" applyFont="1" applyBorder="1" applyAlignment="1">
      <alignment vertical="center"/>
    </xf>
    <xf numFmtId="44" fontId="0" fillId="0" borderId="95" xfId="1" applyFont="1" applyBorder="1" applyAlignment="1">
      <alignment horizontal="right" vertical="center"/>
    </xf>
    <xf numFmtId="49" fontId="4" fillId="0" borderId="0" xfId="0" applyNumberFormat="1" applyFont="1" applyBorder="1" applyAlignment="1">
      <alignment horizontal="center" vertical="center"/>
    </xf>
    <xf numFmtId="44" fontId="17" fillId="0" borderId="0" xfId="1" applyFont="1" applyBorder="1" applyAlignment="1">
      <alignment vertical="center"/>
    </xf>
    <xf numFmtId="0" fontId="4" fillId="0" borderId="56" xfId="0" applyFont="1" applyBorder="1" applyAlignment="1"/>
    <xf numFmtId="44" fontId="2" fillId="0" borderId="5" xfId="1" applyFont="1" applyFill="1" applyBorder="1" applyAlignment="1">
      <alignment horizontal="center"/>
    </xf>
    <xf numFmtId="44" fontId="25" fillId="0" borderId="18" xfId="1" applyFont="1" applyFill="1" applyBorder="1" applyAlignment="1">
      <alignment vertical="center"/>
    </xf>
    <xf numFmtId="0" fontId="32" fillId="0" borderId="0" xfId="0" applyFont="1" applyAlignment="1"/>
    <xf numFmtId="0" fontId="4" fillId="0" borderId="57" xfId="0" applyFont="1" applyFill="1" applyBorder="1" applyAlignment="1">
      <alignment horizontal="center"/>
    </xf>
    <xf numFmtId="0" fontId="4" fillId="0" borderId="47" xfId="0" applyFont="1" applyFill="1" applyBorder="1" applyAlignment="1"/>
    <xf numFmtId="0" fontId="4" fillId="0" borderId="7" xfId="0" applyFont="1" applyFill="1" applyBorder="1" applyAlignment="1"/>
    <xf numFmtId="0" fontId="4" fillId="0" borderId="47" xfId="0" applyFont="1" applyFill="1" applyBorder="1" applyAlignment="1">
      <alignment vertical="center"/>
    </xf>
    <xf numFmtId="0" fontId="4" fillId="0" borderId="76" xfId="0" applyFont="1" applyBorder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0" fontId="19" fillId="0" borderId="0" xfId="0" applyFont="1" applyBorder="1" applyAlignment="1">
      <alignment horizontal="center"/>
    </xf>
    <xf numFmtId="44" fontId="17" fillId="0" borderId="3" xfId="1" applyFont="1" applyFill="1" applyBorder="1"/>
    <xf numFmtId="44" fontId="17" fillId="0" borderId="61" xfId="1" applyFont="1" applyFill="1" applyBorder="1"/>
    <xf numFmtId="44" fontId="17" fillId="0" borderId="12" xfId="1" applyFont="1" applyFill="1" applyBorder="1"/>
    <xf numFmtId="44" fontId="17" fillId="0" borderId="88" xfId="1" applyFont="1" applyFill="1" applyBorder="1"/>
    <xf numFmtId="44" fontId="17" fillId="0" borderId="13" xfId="1" applyFont="1" applyBorder="1" applyAlignment="1">
      <alignment vertical="center"/>
    </xf>
    <xf numFmtId="44" fontId="17" fillId="0" borderId="14" xfId="1" applyFont="1" applyBorder="1"/>
    <xf numFmtId="44" fontId="17" fillId="0" borderId="23" xfId="1" applyFont="1" applyBorder="1" applyAlignment="1">
      <alignment horizontal="center"/>
    </xf>
    <xf numFmtId="44" fontId="17" fillId="0" borderId="2" xfId="1" applyFont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44" fontId="17" fillId="0" borderId="59" xfId="0" applyNumberFormat="1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49" fontId="4" fillId="0" borderId="68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  <xf numFmtId="44" fontId="17" fillId="0" borderId="73" xfId="0" applyNumberFormat="1" applyFont="1" applyBorder="1" applyAlignment="1">
      <alignment horizontal="center"/>
    </xf>
    <xf numFmtId="44" fontId="1" fillId="0" borderId="0" xfId="1" applyFont="1" applyAlignment="1">
      <alignment horizontal="center"/>
    </xf>
    <xf numFmtId="44" fontId="1" fillId="0" borderId="0" xfId="1" applyFont="1" applyBorder="1" applyAlignment="1">
      <alignment horizontal="center"/>
    </xf>
    <xf numFmtId="44" fontId="1" fillId="0" borderId="0" xfId="1" applyFont="1" applyBorder="1"/>
    <xf numFmtId="0" fontId="1" fillId="0" borderId="0" xfId="0" applyFont="1" applyBorder="1"/>
    <xf numFmtId="0" fontId="1" fillId="0" borderId="0" xfId="0" applyFont="1" applyFill="1"/>
    <xf numFmtId="44" fontId="1" fillId="0" borderId="0" xfId="0" applyNumberFormat="1" applyFont="1"/>
    <xf numFmtId="16" fontId="1" fillId="0" borderId="0" xfId="0" applyNumberFormat="1" applyFont="1" applyAlignment="1">
      <alignment horizontal="left" indent="1"/>
    </xf>
    <xf numFmtId="49" fontId="1" fillId="0" borderId="0" xfId="0" applyNumberFormat="1" applyFont="1" applyAlignment="1">
      <alignment horizontal="center"/>
    </xf>
    <xf numFmtId="16" fontId="1" fillId="0" borderId="0" xfId="0" applyNumberFormat="1" applyFont="1" applyFill="1" applyBorder="1" applyAlignment="1">
      <alignment horizontal="center"/>
    </xf>
    <xf numFmtId="44" fontId="17" fillId="0" borderId="65" xfId="0" applyNumberFormat="1" applyFont="1" applyBorder="1" applyAlignment="1"/>
    <xf numFmtId="49" fontId="4" fillId="0" borderId="19" xfId="0" applyNumberFormat="1" applyFont="1" applyBorder="1" applyAlignment="1">
      <alignment vertical="center"/>
    </xf>
    <xf numFmtId="0" fontId="4" fillId="0" borderId="79" xfId="0" applyFont="1" applyBorder="1" applyAlignment="1">
      <alignment horizontal="left"/>
    </xf>
    <xf numFmtId="44" fontId="17" fillId="0" borderId="31" xfId="0" applyNumberFormat="1" applyFont="1" applyBorder="1" applyAlignment="1">
      <alignment wrapText="1"/>
    </xf>
    <xf numFmtId="44" fontId="17" fillId="0" borderId="24" xfId="0" applyNumberFormat="1" applyFont="1" applyBorder="1" applyAlignment="1"/>
    <xf numFmtId="44" fontId="17" fillId="0" borderId="46" xfId="0" applyNumberFormat="1" applyFont="1" applyBorder="1" applyAlignment="1"/>
    <xf numFmtId="44" fontId="25" fillId="0" borderId="71" xfId="1" applyFont="1" applyBorder="1" applyAlignment="1">
      <alignment vertical="center"/>
    </xf>
    <xf numFmtId="44" fontId="17" fillId="0" borderId="0" xfId="1" applyFont="1" applyFill="1" applyBorder="1" applyAlignment="1">
      <alignment vertical="center"/>
    </xf>
    <xf numFmtId="49" fontId="4" fillId="0" borderId="7" xfId="0" applyNumberFormat="1" applyFont="1" applyBorder="1" applyAlignment="1">
      <alignment vertical="center"/>
    </xf>
    <xf numFmtId="44" fontId="17" fillId="0" borderId="1" xfId="0" applyNumberFormat="1" applyFont="1" applyBorder="1" applyAlignment="1"/>
    <xf numFmtId="44" fontId="17" fillId="0" borderId="47" xfId="1" applyFont="1" applyFill="1" applyBorder="1" applyAlignment="1">
      <alignment vertical="center"/>
    </xf>
    <xf numFmtId="44" fontId="17" fillId="0" borderId="59" xfId="0" applyNumberFormat="1" applyFont="1" applyBorder="1" applyAlignment="1">
      <alignment horizontal="center"/>
    </xf>
    <xf numFmtId="44" fontId="17" fillId="0" borderId="59" xfId="0" applyNumberFormat="1" applyFont="1" applyBorder="1" applyAlignment="1">
      <alignment horizontal="center"/>
    </xf>
    <xf numFmtId="44" fontId="2" fillId="0" borderId="46" xfId="1" applyFont="1" applyBorder="1" applyAlignment="1">
      <alignment horizontal="center"/>
    </xf>
    <xf numFmtId="0" fontId="0" fillId="0" borderId="41" xfId="0" applyBorder="1"/>
    <xf numFmtId="44" fontId="17" fillId="0" borderId="59" xfId="0" applyNumberFormat="1" applyFont="1" applyBorder="1" applyAlignment="1">
      <alignment horizontal="center"/>
    </xf>
    <xf numFmtId="44" fontId="17" fillId="0" borderId="59" xfId="0" applyNumberFormat="1" applyFont="1" applyBorder="1" applyAlignment="1">
      <alignment horizontal="center"/>
    </xf>
    <xf numFmtId="44" fontId="17" fillId="0" borderId="59" xfId="0" applyNumberFormat="1" applyFont="1" applyBorder="1" applyAlignment="1">
      <alignment horizontal="center"/>
    </xf>
    <xf numFmtId="44" fontId="24" fillId="0" borderId="12" xfId="1" applyFont="1" applyBorder="1" applyAlignment="1">
      <alignment vertical="center"/>
    </xf>
    <xf numFmtId="44" fontId="24" fillId="0" borderId="15" xfId="1" applyFont="1" applyBorder="1" applyAlignment="1">
      <alignment horizontal="center"/>
    </xf>
    <xf numFmtId="44" fontId="25" fillId="0" borderId="72" xfId="1" applyFont="1" applyBorder="1" applyAlignment="1">
      <alignment vertical="center"/>
    </xf>
    <xf numFmtId="44" fontId="25" fillId="0" borderId="59" xfId="1" applyFont="1" applyBorder="1" applyAlignment="1">
      <alignment vertical="center"/>
    </xf>
    <xf numFmtId="44" fontId="17" fillId="0" borderId="59" xfId="0" applyNumberFormat="1" applyFont="1" applyBorder="1" applyAlignment="1">
      <alignment horizontal="center"/>
    </xf>
    <xf numFmtId="0" fontId="13" fillId="0" borderId="0" xfId="0" applyFont="1" applyBorder="1"/>
    <xf numFmtId="0" fontId="4" fillId="0" borderId="29" xfId="0" applyFont="1" applyBorder="1" applyAlignment="1">
      <alignment vertical="center"/>
    </xf>
    <xf numFmtId="44" fontId="17" fillId="0" borderId="29" xfId="1" applyFont="1" applyFill="1" applyBorder="1" applyAlignment="1">
      <alignment horizontal="center"/>
    </xf>
    <xf numFmtId="44" fontId="17" fillId="0" borderId="57" xfId="1" applyFont="1" applyFill="1" applyBorder="1" applyAlignment="1">
      <alignment horizontal="center"/>
    </xf>
    <xf numFmtId="44" fontId="17" fillId="0" borderId="32" xfId="1" applyFont="1" applyFill="1" applyBorder="1" applyAlignment="1">
      <alignment horizontal="center"/>
    </xf>
    <xf numFmtId="44" fontId="17" fillId="0" borderId="79" xfId="1" applyFont="1" applyFill="1" applyBorder="1" applyAlignment="1">
      <alignment horizontal="center"/>
    </xf>
    <xf numFmtId="44" fontId="17" fillId="0" borderId="56" xfId="1" applyFont="1" applyFill="1" applyBorder="1" applyAlignment="1">
      <alignment horizontal="center"/>
    </xf>
    <xf numFmtId="44" fontId="17" fillId="0" borderId="54" xfId="1" applyFont="1" applyFill="1" applyBorder="1" applyAlignment="1">
      <alignment horizontal="center"/>
    </xf>
    <xf numFmtId="44" fontId="17" fillId="0" borderId="56" xfId="1" applyFont="1" applyFill="1" applyBorder="1" applyAlignment="1">
      <alignment vertical="center"/>
    </xf>
    <xf numFmtId="0" fontId="32" fillId="0" borderId="0" xfId="0" applyFont="1" applyAlignment="1">
      <alignment horizontal="center"/>
    </xf>
    <xf numFmtId="44" fontId="17" fillId="0" borderId="76" xfId="1" applyFont="1" applyBorder="1" applyAlignment="1">
      <alignment vertical="center"/>
    </xf>
    <xf numFmtId="44" fontId="17" fillId="0" borderId="17" xfId="1" applyFont="1" applyFill="1" applyBorder="1"/>
    <xf numFmtId="0" fontId="31" fillId="0" borderId="47" xfId="0" applyFont="1" applyBorder="1" applyAlignment="1"/>
    <xf numFmtId="0" fontId="31" fillId="0" borderId="7" xfId="0" applyFont="1" applyBorder="1" applyAlignment="1"/>
    <xf numFmtId="44" fontId="25" fillId="0" borderId="89" xfId="1" applyFont="1" applyFill="1" applyBorder="1" applyAlignment="1">
      <alignment vertical="center"/>
    </xf>
    <xf numFmtId="44" fontId="25" fillId="0" borderId="7" xfId="1" applyFont="1" applyFill="1" applyBorder="1" applyAlignment="1">
      <alignment vertical="center"/>
    </xf>
    <xf numFmtId="16" fontId="1" fillId="0" borderId="1" xfId="0" applyNumberFormat="1" applyFon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49" fontId="1" fillId="0" borderId="28" xfId="0" applyNumberFormat="1" applyFont="1" applyBorder="1" applyAlignment="1">
      <alignment horizontal="center"/>
    </xf>
    <xf numFmtId="49" fontId="1" fillId="0" borderId="31" xfId="0" applyNumberFormat="1" applyFont="1" applyBorder="1" applyAlignment="1">
      <alignment horizontal="center"/>
    </xf>
    <xf numFmtId="0" fontId="4" fillId="0" borderId="92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59" xfId="0" applyFont="1" applyBorder="1" applyAlignment="1">
      <alignment horizontal="center"/>
    </xf>
    <xf numFmtId="49" fontId="1" fillId="0" borderId="34" xfId="0" applyNumberFormat="1" applyFont="1" applyBorder="1" applyAlignment="1">
      <alignment horizontal="center"/>
    </xf>
    <xf numFmtId="16" fontId="0" fillId="0" borderId="0" xfId="0" applyNumberFormat="1" applyAlignment="1">
      <alignment horizontal="center"/>
    </xf>
    <xf numFmtId="49" fontId="1" fillId="0" borderId="72" xfId="0" applyNumberFormat="1" applyFont="1" applyBorder="1" applyAlignment="1">
      <alignment horizontal="center"/>
    </xf>
    <xf numFmtId="44" fontId="17" fillId="0" borderId="3" xfId="0" applyNumberFormat="1" applyFont="1" applyBorder="1" applyAlignment="1"/>
    <xf numFmtId="44" fontId="2" fillId="0" borderId="96" xfId="1" applyFont="1" applyBorder="1" applyAlignment="1">
      <alignment horizontal="center"/>
    </xf>
    <xf numFmtId="44" fontId="17" fillId="0" borderId="51" xfId="1" applyFont="1" applyBorder="1"/>
    <xf numFmtId="44" fontId="17" fillId="0" borderId="47" xfId="1" applyFont="1" applyBorder="1"/>
    <xf numFmtId="44" fontId="17" fillId="0" borderId="54" xfId="1" applyFont="1" applyBorder="1"/>
    <xf numFmtId="44" fontId="17" fillId="0" borderId="41" xfId="1" applyFont="1" applyBorder="1"/>
    <xf numFmtId="44" fontId="17" fillId="0" borderId="23" xfId="0" applyNumberFormat="1" applyFont="1" applyBorder="1" applyAlignment="1">
      <alignment horizontal="center"/>
    </xf>
    <xf numFmtId="44" fontId="17" fillId="0" borderId="49" xfId="1" applyFont="1" applyBorder="1"/>
    <xf numFmtId="44" fontId="17" fillId="0" borderId="94" xfId="1" applyFont="1" applyBorder="1"/>
    <xf numFmtId="44" fontId="17" fillId="0" borderId="53" xfId="1" applyFont="1" applyBorder="1"/>
    <xf numFmtId="16" fontId="0" fillId="0" borderId="0" xfId="0" applyNumberFormat="1" applyAlignment="1">
      <alignment horizontal="center"/>
    </xf>
    <xf numFmtId="0" fontId="5" fillId="0" borderId="47" xfId="0" applyFont="1" applyBorder="1" applyAlignment="1"/>
    <xf numFmtId="0" fontId="5" fillId="0" borderId="7" xfId="0" applyFont="1" applyBorder="1" applyAlignment="1"/>
    <xf numFmtId="16" fontId="0" fillId="0" borderId="0" xfId="0" applyNumberFormat="1" applyAlignment="1">
      <alignment horizontal="center"/>
    </xf>
    <xf numFmtId="44" fontId="17" fillId="0" borderId="38" xfId="1" applyFont="1" applyBorder="1"/>
    <xf numFmtId="44" fontId="17" fillId="0" borderId="2" xfId="1" applyFont="1" applyBorder="1" applyAlignment="1">
      <alignment horizontal="center"/>
    </xf>
    <xf numFmtId="44" fontId="17" fillId="0" borderId="46" xfId="1" applyFon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49" fontId="4" fillId="0" borderId="12" xfId="0" applyNumberFormat="1" applyFont="1" applyBorder="1" applyAlignment="1">
      <alignment horizontal="center" vertical="center"/>
    </xf>
    <xf numFmtId="44" fontId="25" fillId="0" borderId="61" xfId="1" applyFont="1" applyBorder="1" applyAlignment="1">
      <alignment vertical="center"/>
    </xf>
    <xf numFmtId="44" fontId="17" fillId="0" borderId="34" xfId="0" applyNumberFormat="1" applyFont="1" applyBorder="1" applyAlignment="1">
      <alignment horizontal="center" wrapText="1"/>
    </xf>
    <xf numFmtId="44" fontId="18" fillId="0" borderId="32" xfId="1" applyFont="1" applyBorder="1" applyAlignment="1">
      <alignment vertical="center"/>
    </xf>
    <xf numFmtId="44" fontId="1" fillId="0" borderId="11" xfId="1" applyFont="1" applyBorder="1" applyAlignment="1">
      <alignment horizontal="right" vertical="center"/>
    </xf>
    <xf numFmtId="16" fontId="0" fillId="0" borderId="0" xfId="0" applyNumberFormat="1" applyAlignment="1">
      <alignment horizontal="center"/>
    </xf>
    <xf numFmtId="49" fontId="4" fillId="0" borderId="3" xfId="0" applyNumberFormat="1" applyFont="1" applyBorder="1" applyAlignment="1">
      <alignment horizontal="center" vertical="center"/>
    </xf>
    <xf numFmtId="44" fontId="33" fillId="0" borderId="0" xfId="1" applyFont="1" applyAlignment="1">
      <alignment horizontal="center"/>
    </xf>
    <xf numFmtId="44" fontId="17" fillId="0" borderId="0" xfId="0" applyNumberFormat="1" applyFont="1" applyBorder="1" applyAlignment="1"/>
    <xf numFmtId="44" fontId="18" fillId="0" borderId="13" xfId="1" applyFont="1" applyBorder="1" applyAlignment="1">
      <alignment vertical="center"/>
    </xf>
    <xf numFmtId="0" fontId="4" fillId="0" borderId="18" xfId="0" applyFont="1" applyBorder="1" applyAlignment="1"/>
    <xf numFmtId="49" fontId="2" fillId="0" borderId="96" xfId="0" applyNumberFormat="1" applyFont="1" applyBorder="1" applyAlignment="1">
      <alignment horizontal="center"/>
    </xf>
    <xf numFmtId="49" fontId="4" fillId="0" borderId="47" xfId="0" applyNumberFormat="1" applyFont="1" applyBorder="1" applyAlignment="1">
      <alignment horizontal="center" vertical="center"/>
    </xf>
    <xf numFmtId="44" fontId="13" fillId="0" borderId="0" xfId="0" applyNumberFormat="1" applyFont="1" applyAlignment="1">
      <alignment horizontal="left" indent="1"/>
    </xf>
    <xf numFmtId="49" fontId="4" fillId="0" borderId="40" xfId="0" applyNumberFormat="1" applyFont="1" applyBorder="1" applyAlignment="1">
      <alignment horizontal="center" vertical="center"/>
    </xf>
    <xf numFmtId="44" fontId="17" fillId="0" borderId="40" xfId="0" applyNumberFormat="1" applyFont="1" applyBorder="1" applyAlignment="1"/>
    <xf numFmtId="44" fontId="17" fillId="0" borderId="92" xfId="0" applyNumberFormat="1" applyFont="1" applyBorder="1" applyAlignment="1">
      <alignment horizontal="center"/>
    </xf>
    <xf numFmtId="44" fontId="17" fillId="0" borderId="59" xfId="0" applyNumberFormat="1" applyFont="1" applyBorder="1" applyAlignment="1">
      <alignment horizontal="center"/>
    </xf>
    <xf numFmtId="44" fontId="9" fillId="0" borderId="0" xfId="1" applyFont="1" applyBorder="1" applyAlignment="1">
      <alignment horizontal="center" wrapText="1"/>
    </xf>
    <xf numFmtId="44" fontId="18" fillId="0" borderId="0" xfId="1" applyFont="1" applyBorder="1" applyAlignment="1">
      <alignment vertical="center"/>
    </xf>
    <xf numFmtId="166" fontId="2" fillId="0" borderId="0" xfId="1" applyNumberFormat="1" applyFont="1" applyBorder="1" applyAlignment="1">
      <alignment horizontal="center"/>
    </xf>
    <xf numFmtId="44" fontId="34" fillId="0" borderId="28" xfId="1" applyFont="1" applyBorder="1" applyAlignment="1">
      <alignment vertical="center"/>
    </xf>
    <xf numFmtId="44" fontId="34" fillId="0" borderId="31" xfId="1" applyFont="1" applyBorder="1" applyAlignment="1">
      <alignment vertical="center"/>
    </xf>
    <xf numFmtId="44" fontId="17" fillId="0" borderId="34" xfId="1" applyFont="1" applyBorder="1" applyAlignment="1">
      <alignment vertical="center"/>
    </xf>
    <xf numFmtId="16" fontId="0" fillId="0" borderId="0" xfId="0" applyNumberFormat="1" applyAlignment="1">
      <alignment horizontal="center"/>
    </xf>
    <xf numFmtId="44" fontId="17" fillId="0" borderId="46" xfId="1" applyFont="1" applyBorder="1" applyAlignment="1">
      <alignment vertical="center"/>
    </xf>
    <xf numFmtId="49" fontId="2" fillId="0" borderId="5" xfId="0" applyNumberFormat="1" applyFont="1" applyBorder="1" applyAlignment="1">
      <alignment horizontal="center"/>
    </xf>
    <xf numFmtId="44" fontId="17" fillId="0" borderId="50" xfId="1" applyFont="1" applyBorder="1" applyAlignment="1">
      <alignment horizontal="center"/>
    </xf>
    <xf numFmtId="44" fontId="18" fillId="0" borderId="29" xfId="1" applyFont="1" applyBorder="1" applyAlignment="1">
      <alignment horizontal="center"/>
    </xf>
    <xf numFmtId="44" fontId="17" fillId="0" borderId="49" xfId="1" applyFont="1" applyBorder="1" applyAlignment="1">
      <alignment horizontal="center"/>
    </xf>
    <xf numFmtId="44" fontId="17" fillId="0" borderId="79" xfId="1" applyFont="1" applyBorder="1" applyAlignment="1">
      <alignment horizontal="center"/>
    </xf>
    <xf numFmtId="44" fontId="17" fillId="0" borderId="94" xfId="1" applyFont="1" applyBorder="1" applyAlignment="1">
      <alignment horizontal="center"/>
    </xf>
    <xf numFmtId="44" fontId="17" fillId="0" borderId="53" xfId="1" applyFont="1" applyBorder="1" applyAlignment="1">
      <alignment horizontal="center"/>
    </xf>
    <xf numFmtId="44" fontId="32" fillId="0" borderId="0" xfId="1" applyFont="1"/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44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4" fontId="6" fillId="0" borderId="0" xfId="1" applyFont="1"/>
    <xf numFmtId="0" fontId="6" fillId="0" borderId="0" xfId="0" applyFont="1"/>
    <xf numFmtId="16" fontId="6" fillId="0" borderId="0" xfId="0" applyNumberFormat="1" applyFont="1" applyAlignment="1">
      <alignment horizontal="center"/>
    </xf>
    <xf numFmtId="44" fontId="32" fillId="0" borderId="0" xfId="1" applyFont="1" applyAlignment="1">
      <alignment horizontal="center"/>
    </xf>
    <xf numFmtId="16" fontId="17" fillId="0" borderId="0" xfId="0" applyNumberFormat="1" applyFont="1" applyAlignment="1">
      <alignment horizontal="center"/>
    </xf>
    <xf numFmtId="0" fontId="17" fillId="0" borderId="0" xfId="0" applyFont="1"/>
    <xf numFmtId="44" fontId="17" fillId="0" borderId="69" xfId="0" applyNumberFormat="1" applyFont="1" applyBorder="1" applyAlignment="1">
      <alignment horizontal="center"/>
    </xf>
    <xf numFmtId="44" fontId="17" fillId="0" borderId="9" xfId="1" applyNumberFormat="1" applyFont="1" applyFill="1" applyBorder="1" applyAlignment="1">
      <alignment vertical="center"/>
    </xf>
    <xf numFmtId="44" fontId="17" fillId="0" borderId="3" xfId="1" applyNumberFormat="1" applyFont="1" applyFill="1" applyBorder="1" applyAlignment="1">
      <alignment vertical="center"/>
    </xf>
    <xf numFmtId="44" fontId="17" fillId="0" borderId="14" xfId="1" applyNumberFormat="1" applyFont="1" applyBorder="1" applyAlignment="1">
      <alignment vertical="center"/>
    </xf>
    <xf numFmtId="44" fontId="17" fillId="0" borderId="11" xfId="0" applyNumberFormat="1" applyFont="1" applyBorder="1" applyAlignment="1">
      <alignment horizontal="center"/>
    </xf>
    <xf numFmtId="44" fontId="17" fillId="0" borderId="7" xfId="0" applyNumberFormat="1" applyFont="1" applyBorder="1" applyAlignment="1">
      <alignment horizontal="center"/>
    </xf>
    <xf numFmtId="44" fontId="17" fillId="0" borderId="1" xfId="1" applyNumberFormat="1" applyFont="1" applyFill="1" applyBorder="1" applyAlignment="1">
      <alignment vertical="center"/>
    </xf>
    <xf numFmtId="44" fontId="17" fillId="0" borderId="10" xfId="1" applyNumberFormat="1" applyFont="1" applyBorder="1" applyAlignment="1">
      <alignment vertical="center"/>
    </xf>
    <xf numFmtId="44" fontId="17" fillId="0" borderId="11" xfId="1" applyNumberFormat="1" applyFont="1" applyFill="1" applyBorder="1" applyAlignment="1">
      <alignment vertical="center"/>
    </xf>
    <xf numFmtId="44" fontId="17" fillId="0" borderId="7" xfId="1" applyNumberFormat="1" applyFont="1" applyFill="1" applyBorder="1" applyAlignment="1">
      <alignment vertical="center"/>
    </xf>
    <xf numFmtId="44" fontId="17" fillId="0" borderId="75" xfId="1" applyNumberFormat="1" applyFont="1" applyFill="1" applyBorder="1" applyAlignment="1">
      <alignment vertical="center"/>
    </xf>
    <xf numFmtId="0" fontId="4" fillId="0" borderId="84" xfId="0" applyFont="1" applyBorder="1" applyAlignment="1">
      <alignment horizontal="center"/>
    </xf>
    <xf numFmtId="44" fontId="17" fillId="0" borderId="16" xfId="1" applyNumberFormat="1" applyFont="1" applyFill="1" applyBorder="1" applyAlignment="1">
      <alignment vertical="center"/>
    </xf>
    <xf numFmtId="44" fontId="17" fillId="0" borderId="74" xfId="1" applyNumberFormat="1" applyFont="1" applyFill="1" applyBorder="1" applyAlignment="1">
      <alignment vertical="center"/>
    </xf>
    <xf numFmtId="44" fontId="17" fillId="0" borderId="76" xfId="1" applyNumberFormat="1" applyFont="1" applyBorder="1" applyAlignment="1">
      <alignment vertical="center"/>
    </xf>
    <xf numFmtId="44" fontId="9" fillId="0" borderId="0" xfId="1" applyFont="1" applyBorder="1" applyAlignment="1">
      <alignment wrapText="1"/>
    </xf>
    <xf numFmtId="44" fontId="6" fillId="0" borderId="0" xfId="1" applyFont="1" applyFill="1"/>
    <xf numFmtId="49" fontId="4" fillId="0" borderId="40" xfId="0" applyNumberFormat="1" applyFont="1" applyBorder="1" applyAlignment="1">
      <alignment horizontal="center" vertical="center"/>
    </xf>
    <xf numFmtId="44" fontId="2" fillId="0" borderId="24" xfId="1" applyFont="1" applyBorder="1" applyAlignment="1">
      <alignment horizontal="center"/>
    </xf>
    <xf numFmtId="44" fontId="33" fillId="0" borderId="0" xfId="1" applyFont="1" applyFill="1" applyAlignment="1">
      <alignment horizontal="center"/>
    </xf>
    <xf numFmtId="44" fontId="35" fillId="0" borderId="0" xfId="1" applyFont="1"/>
    <xf numFmtId="16" fontId="6" fillId="0" borderId="0" xfId="0" applyNumberFormat="1" applyFont="1" applyAlignment="1">
      <alignment horizontal="left" indent="1"/>
    </xf>
    <xf numFmtId="44" fontId="6" fillId="0" borderId="1" xfId="0" applyNumberFormat="1" applyFont="1" applyBorder="1"/>
    <xf numFmtId="49" fontId="2" fillId="0" borderId="24" xfId="0" quotePrefix="1" applyNumberFormat="1" applyFont="1" applyBorder="1" applyAlignment="1">
      <alignment horizontal="center"/>
    </xf>
    <xf numFmtId="44" fontId="17" fillId="0" borderId="15" xfId="0" applyNumberFormat="1" applyFont="1" applyBorder="1" applyAlignment="1">
      <alignment horizontal="center"/>
    </xf>
    <xf numFmtId="44" fontId="18" fillId="0" borderId="23" xfId="1" applyFont="1" applyFill="1" applyBorder="1" applyAlignment="1">
      <alignment vertical="center"/>
    </xf>
    <xf numFmtId="49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44" fontId="17" fillId="0" borderId="0" xfId="1" applyFont="1"/>
    <xf numFmtId="0" fontId="17" fillId="0" borderId="0" xfId="0" applyFont="1" applyAlignment="1">
      <alignment horizontal="left" indent="1"/>
    </xf>
    <xf numFmtId="44" fontId="17" fillId="0" borderId="0" xfId="0" applyNumberFormat="1" applyFont="1"/>
    <xf numFmtId="44" fontId="17" fillId="0" borderId="16" xfId="1" applyFont="1" applyBorder="1" applyAlignment="1">
      <alignment vertical="center"/>
    </xf>
    <xf numFmtId="0" fontId="1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44" fontId="34" fillId="0" borderId="80" xfId="1" applyFont="1" applyBorder="1"/>
    <xf numFmtId="0" fontId="2" fillId="0" borderId="0" xfId="0" applyFont="1" applyBorder="1" applyAlignment="1">
      <alignment horizontal="center" vertical="center"/>
    </xf>
    <xf numFmtId="166" fontId="20" fillId="0" borderId="0" xfId="1" applyNumberFormat="1" applyFont="1" applyFill="1" applyBorder="1" applyAlignment="1">
      <alignment horizontal="center" vertical="center"/>
    </xf>
    <xf numFmtId="166" fontId="5" fillId="0" borderId="0" xfId="1" applyNumberFormat="1" applyFont="1" applyFill="1" applyBorder="1" applyAlignment="1">
      <alignment horizontal="center" vertical="center"/>
    </xf>
    <xf numFmtId="44" fontId="0" fillId="0" borderId="13" xfId="1" applyFont="1" applyBorder="1" applyAlignment="1">
      <alignment horizontal="right" vertical="center"/>
    </xf>
    <xf numFmtId="44" fontId="0" fillId="0" borderId="14" xfId="1" applyFont="1" applyBorder="1" applyAlignment="1">
      <alignment horizontal="right" vertical="center"/>
    </xf>
    <xf numFmtId="44" fontId="0" fillId="0" borderId="16" xfId="1" applyFont="1" applyBorder="1" applyAlignment="1">
      <alignment horizontal="right" vertical="center"/>
    </xf>
    <xf numFmtId="44" fontId="0" fillId="0" borderId="76" xfId="1" applyFont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44" fontId="1" fillId="0" borderId="11" xfId="1" applyFont="1" applyFill="1" applyBorder="1" applyAlignment="1">
      <alignment horizontal="center" vertical="center"/>
    </xf>
    <xf numFmtId="44" fontId="1" fillId="0" borderId="24" xfId="1" applyFont="1" applyFill="1" applyBorder="1" applyAlignment="1">
      <alignment horizontal="center" vertical="center"/>
    </xf>
    <xf numFmtId="44" fontId="1" fillId="0" borderId="65" xfId="1" applyFont="1" applyFill="1" applyBorder="1" applyAlignment="1">
      <alignment horizontal="center" vertical="center"/>
    </xf>
    <xf numFmtId="44" fontId="1" fillId="0" borderId="16" xfId="1" applyFont="1" applyFill="1" applyBorder="1" applyAlignment="1">
      <alignment horizontal="center" vertical="center"/>
    </xf>
    <xf numFmtId="44" fontId="1" fillId="0" borderId="68" xfId="1" applyFont="1" applyFill="1" applyBorder="1" applyAlignment="1">
      <alignment horizontal="center" vertical="center"/>
    </xf>
    <xf numFmtId="44" fontId="1" fillId="0" borderId="1" xfId="1" applyFont="1" applyFill="1" applyBorder="1" applyAlignment="1">
      <alignment horizontal="center" vertical="center"/>
    </xf>
    <xf numFmtId="44" fontId="1" fillId="0" borderId="75" xfId="1" applyFont="1" applyFill="1" applyBorder="1" applyAlignment="1">
      <alignment horizontal="center" vertical="center"/>
    </xf>
    <xf numFmtId="44" fontId="9" fillId="0" borderId="0" xfId="1" applyFont="1" applyBorder="1" applyAlignment="1">
      <alignment horizontal="center" wrapText="1"/>
    </xf>
    <xf numFmtId="44" fontId="9" fillId="0" borderId="41" xfId="1" applyFont="1" applyBorder="1" applyAlignment="1">
      <alignment horizontal="center" wrapText="1"/>
    </xf>
    <xf numFmtId="44" fontId="9" fillId="0" borderId="71" xfId="1" applyFont="1" applyBorder="1" applyAlignment="1">
      <alignment horizontal="center" wrapText="1"/>
    </xf>
    <xf numFmtId="44" fontId="9" fillId="0" borderId="73" xfId="1" applyFont="1" applyBorder="1" applyAlignment="1">
      <alignment horizontal="center" wrapText="1"/>
    </xf>
    <xf numFmtId="44" fontId="17" fillId="0" borderId="28" xfId="1" applyFont="1" applyBorder="1" applyAlignment="1">
      <alignment vertical="center"/>
    </xf>
    <xf numFmtId="44" fontId="36" fillId="0" borderId="0" xfId="1" applyFont="1" applyFill="1" applyBorder="1" applyAlignment="1">
      <alignment vertical="center"/>
    </xf>
    <xf numFmtId="166" fontId="2" fillId="0" borderId="83" xfId="1" applyNumberFormat="1" applyFont="1" applyBorder="1" applyAlignment="1">
      <alignment horizontal="center"/>
    </xf>
    <xf numFmtId="44" fontId="35" fillId="0" borderId="31" xfId="1" applyFont="1" applyBorder="1" applyAlignment="1">
      <alignment vertical="center"/>
    </xf>
    <xf numFmtId="166" fontId="20" fillId="0" borderId="62" xfId="1" applyNumberFormat="1" applyFont="1" applyFill="1" applyBorder="1" applyAlignment="1">
      <alignment horizontal="center" vertical="center"/>
    </xf>
    <xf numFmtId="166" fontId="20" fillId="0" borderId="64" xfId="1" applyNumberFormat="1" applyFont="1" applyFill="1" applyBorder="1" applyAlignment="1">
      <alignment horizontal="center" vertical="center"/>
    </xf>
    <xf numFmtId="44" fontId="26" fillId="0" borderId="79" xfId="0" applyNumberFormat="1" applyFont="1" applyBorder="1" applyAlignment="1">
      <alignment horizontal="center" vertical="center"/>
    </xf>
    <xf numFmtId="0" fontId="26" fillId="0" borderId="57" xfId="0" applyFont="1" applyBorder="1" applyAlignment="1">
      <alignment horizontal="center" vertical="center"/>
    </xf>
    <xf numFmtId="44" fontId="26" fillId="0" borderId="57" xfId="0" applyNumberFormat="1" applyFont="1" applyBorder="1" applyAlignment="1">
      <alignment horizontal="center" vertical="center"/>
    </xf>
    <xf numFmtId="166" fontId="26" fillId="0" borderId="0" xfId="0" applyNumberFormat="1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22" fillId="0" borderId="71" xfId="0" applyFont="1" applyBorder="1" applyAlignment="1">
      <alignment horizontal="center" wrapText="1"/>
    </xf>
    <xf numFmtId="0" fontId="22" fillId="0" borderId="73" xfId="0" applyFont="1" applyBorder="1" applyAlignment="1">
      <alignment horizontal="center" wrapText="1"/>
    </xf>
    <xf numFmtId="44" fontId="10" fillId="0" borderId="0" xfId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4" fontId="10" fillId="0" borderId="0" xfId="1" applyNumberFormat="1" applyFont="1" applyBorder="1" applyAlignment="1">
      <alignment horizontal="left" vertical="center"/>
    </xf>
    <xf numFmtId="7" fontId="10" fillId="0" borderId="0" xfId="1" applyNumberFormat="1" applyFont="1" applyBorder="1" applyAlignment="1">
      <alignment horizontal="left" vertical="center"/>
    </xf>
    <xf numFmtId="44" fontId="12" fillId="0" borderId="0" xfId="1" applyFont="1" applyBorder="1" applyAlignment="1">
      <alignment horizontal="center" vertical="center"/>
    </xf>
    <xf numFmtId="44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49" fontId="1" fillId="0" borderId="49" xfId="0" applyNumberFormat="1" applyFont="1" applyBorder="1" applyAlignment="1">
      <alignment horizontal="center"/>
    </xf>
    <xf numFmtId="49" fontId="1" fillId="0" borderId="47" xfId="0" applyNumberFormat="1" applyFont="1" applyBorder="1" applyAlignment="1">
      <alignment horizontal="center"/>
    </xf>
    <xf numFmtId="44" fontId="17" fillId="0" borderId="72" xfId="0" applyNumberFormat="1" applyFont="1" applyBorder="1" applyAlignment="1">
      <alignment horizontal="center"/>
    </xf>
    <xf numFmtId="44" fontId="17" fillId="0" borderId="92" xfId="0" applyNumberFormat="1" applyFont="1" applyBorder="1" applyAlignment="1">
      <alignment horizontal="center"/>
    </xf>
    <xf numFmtId="44" fontId="17" fillId="0" borderId="59" xfId="0" applyNumberFormat="1" applyFont="1" applyBorder="1" applyAlignment="1">
      <alignment horizontal="center"/>
    </xf>
    <xf numFmtId="49" fontId="1" fillId="0" borderId="53" xfId="0" applyNumberFormat="1" applyFont="1" applyBorder="1" applyAlignment="1">
      <alignment horizontal="center"/>
    </xf>
    <xf numFmtId="49" fontId="1" fillId="0" borderId="55" xfId="0" applyNumberFormat="1" applyFont="1" applyBorder="1" applyAlignment="1">
      <alignment horizontal="center"/>
    </xf>
    <xf numFmtId="166" fontId="22" fillId="0" borderId="0" xfId="0" applyNumberFormat="1" applyFont="1" applyBorder="1" applyAlignment="1">
      <alignment horizontal="center"/>
    </xf>
    <xf numFmtId="166" fontId="22" fillId="0" borderId="0" xfId="0" applyNumberFormat="1" applyFont="1" applyAlignment="1">
      <alignment horizontal="center"/>
    </xf>
    <xf numFmtId="49" fontId="0" fillId="0" borderId="47" xfId="0" applyNumberFormat="1" applyBorder="1" applyAlignment="1">
      <alignment horizont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6" xfId="0" applyNumberFormat="1" applyFont="1" applyBorder="1" applyAlignment="1">
      <alignment horizontal="center" vertical="center"/>
    </xf>
    <xf numFmtId="49" fontId="2" fillId="0" borderId="56" xfId="0" applyNumberFormat="1" applyFont="1" applyBorder="1" applyAlignment="1">
      <alignment horizontal="center"/>
    </xf>
    <xf numFmtId="166" fontId="23" fillId="0" borderId="0" xfId="0" applyNumberFormat="1" applyFont="1" applyBorder="1" applyAlignment="1">
      <alignment horizontal="left" vertical="center" indent="1"/>
    </xf>
    <xf numFmtId="166" fontId="23" fillId="0" borderId="56" xfId="0" applyNumberFormat="1" applyFont="1" applyBorder="1" applyAlignment="1">
      <alignment horizontal="left" vertical="center" indent="1"/>
    </xf>
    <xf numFmtId="166" fontId="23" fillId="0" borderId="83" xfId="0" applyNumberFormat="1" applyFont="1" applyBorder="1" applyAlignment="1">
      <alignment horizontal="left" vertical="center" indent="1"/>
    </xf>
    <xf numFmtId="166" fontId="2" fillId="0" borderId="29" xfId="1" applyNumberFormat="1" applyFont="1" applyBorder="1" applyAlignment="1">
      <alignment horizontal="center"/>
    </xf>
    <xf numFmtId="166" fontId="2" fillId="0" borderId="69" xfId="1" applyNumberFormat="1" applyFont="1" applyBorder="1" applyAlignment="1">
      <alignment horizontal="center"/>
    </xf>
    <xf numFmtId="49" fontId="0" fillId="0" borderId="77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49" fontId="0" fillId="0" borderId="29" xfId="0" applyNumberFormat="1" applyBorder="1" applyAlignment="1">
      <alignment horizontal="center"/>
    </xf>
    <xf numFmtId="0" fontId="5" fillId="0" borderId="41" xfId="0" applyFont="1" applyBorder="1" applyAlignment="1">
      <alignment horizontal="center"/>
    </xf>
    <xf numFmtId="44" fontId="9" fillId="0" borderId="0" xfId="1" applyFont="1" applyBorder="1" applyAlignment="1">
      <alignment horizontal="center" wrapText="1"/>
    </xf>
    <xf numFmtId="44" fontId="9" fillId="0" borderId="41" xfId="1" applyFont="1" applyBorder="1" applyAlignment="1">
      <alignment horizontal="center" wrapText="1"/>
    </xf>
    <xf numFmtId="44" fontId="14" fillId="0" borderId="63" xfId="1" applyFont="1" applyBorder="1" applyAlignment="1">
      <alignment horizontal="center"/>
    </xf>
    <xf numFmtId="44" fontId="14" fillId="0" borderId="58" xfId="1" applyFont="1" applyBorder="1" applyAlignment="1">
      <alignment horizontal="center"/>
    </xf>
    <xf numFmtId="44" fontId="17" fillId="0" borderId="71" xfId="0" applyNumberFormat="1" applyFont="1" applyBorder="1" applyAlignment="1">
      <alignment horizontal="center"/>
    </xf>
    <xf numFmtId="44" fontId="8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9" fontId="0" fillId="0" borderId="54" xfId="0" applyNumberForma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49" fontId="0" fillId="0" borderId="32" xfId="0" applyNumberFormat="1" applyBorder="1" applyAlignment="1">
      <alignment horizontal="center"/>
    </xf>
    <xf numFmtId="166" fontId="5" fillId="0" borderId="0" xfId="0" applyNumberFormat="1" applyFont="1" applyBorder="1" applyAlignment="1">
      <alignment horizontal="center"/>
    </xf>
    <xf numFmtId="44" fontId="5" fillId="0" borderId="0" xfId="0" applyNumberFormat="1" applyFont="1" applyBorder="1" applyAlignment="1">
      <alignment horizontal="center"/>
    </xf>
    <xf numFmtId="44" fontId="17" fillId="0" borderId="12" xfId="0" applyNumberFormat="1" applyFont="1" applyBorder="1" applyAlignment="1">
      <alignment horizontal="center"/>
    </xf>
    <xf numFmtId="44" fontId="17" fillId="0" borderId="46" xfId="0" applyNumberFormat="1" applyFont="1" applyBorder="1" applyAlignment="1">
      <alignment horizontal="center"/>
    </xf>
    <xf numFmtId="44" fontId="17" fillId="0" borderId="3" xfId="0" applyNumberFormat="1" applyFont="1" applyBorder="1" applyAlignment="1">
      <alignment horizontal="center"/>
    </xf>
    <xf numFmtId="44" fontId="17" fillId="0" borderId="15" xfId="0" applyNumberFormat="1" applyFont="1" applyBorder="1" applyAlignment="1">
      <alignment horizontal="center"/>
    </xf>
    <xf numFmtId="44" fontId="17" fillId="0" borderId="65" xfId="0" applyNumberFormat="1" applyFont="1" applyBorder="1" applyAlignment="1">
      <alignment horizontal="center"/>
    </xf>
    <xf numFmtId="44" fontId="17" fillId="0" borderId="23" xfId="0" applyNumberFormat="1" applyFont="1" applyBorder="1" applyAlignment="1">
      <alignment horizontal="center"/>
    </xf>
    <xf numFmtId="44" fontId="1" fillId="0" borderId="0" xfId="1" applyAlignment="1">
      <alignment horizontal="center"/>
    </xf>
    <xf numFmtId="49" fontId="4" fillId="0" borderId="68" xfId="0" applyNumberFormat="1" applyFont="1" applyBorder="1" applyAlignment="1">
      <alignment horizontal="center" vertical="center"/>
    </xf>
    <xf numFmtId="49" fontId="4" fillId="0" borderId="40" xfId="0" applyNumberFormat="1" applyFont="1" applyBorder="1" applyAlignment="1">
      <alignment horizontal="center" vertical="center"/>
    </xf>
    <xf numFmtId="44" fontId="17" fillId="0" borderId="68" xfId="0" applyNumberFormat="1" applyFont="1" applyBorder="1" applyAlignment="1">
      <alignment horizontal="center"/>
    </xf>
    <xf numFmtId="44" fontId="17" fillId="0" borderId="40" xfId="0" applyNumberFormat="1" applyFont="1" applyBorder="1" applyAlignment="1">
      <alignment horizontal="center"/>
    </xf>
    <xf numFmtId="166" fontId="27" fillId="0" borderId="0" xfId="0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49" fontId="1" fillId="0" borderId="24" xfId="0" applyNumberFormat="1" applyFont="1" applyBorder="1" applyAlignment="1">
      <alignment horizontal="center"/>
    </xf>
    <xf numFmtId="49" fontId="0" fillId="0" borderId="25" xfId="0" applyNumberFormat="1" applyBorder="1" applyAlignment="1">
      <alignment horizontal="center"/>
    </xf>
    <xf numFmtId="44" fontId="14" fillId="0" borderId="63" xfId="1" applyFont="1" applyFill="1" applyBorder="1" applyAlignment="1">
      <alignment horizontal="center"/>
    </xf>
    <xf numFmtId="44" fontId="14" fillId="0" borderId="58" xfId="1" applyFont="1" applyFill="1" applyBorder="1" applyAlignment="1">
      <alignment horizontal="center"/>
    </xf>
    <xf numFmtId="166" fontId="2" fillId="0" borderId="57" xfId="1" applyNumberFormat="1" applyFont="1" applyFill="1" applyBorder="1" applyAlignment="1">
      <alignment horizontal="center"/>
    </xf>
    <xf numFmtId="166" fontId="2" fillId="0" borderId="40" xfId="1" applyNumberFormat="1" applyFont="1" applyFill="1" applyBorder="1" applyAlignment="1">
      <alignment horizontal="center"/>
    </xf>
    <xf numFmtId="166" fontId="2" fillId="0" borderId="29" xfId="1" applyNumberFormat="1" applyFont="1" applyFill="1" applyBorder="1" applyAlignment="1">
      <alignment horizontal="center"/>
    </xf>
    <xf numFmtId="166" fontId="2" fillId="0" borderId="69" xfId="1" applyNumberFormat="1" applyFont="1" applyFill="1" applyBorder="1" applyAlignment="1">
      <alignment horizontal="center"/>
    </xf>
    <xf numFmtId="44" fontId="17" fillId="0" borderId="19" xfId="0" applyNumberFormat="1" applyFont="1" applyBorder="1" applyAlignment="1">
      <alignment horizontal="center"/>
    </xf>
    <xf numFmtId="49" fontId="2" fillId="0" borderId="88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49" fontId="1" fillId="0" borderId="54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166" fontId="2" fillId="0" borderId="57" xfId="1" applyNumberFormat="1" applyFont="1" applyBorder="1" applyAlignment="1">
      <alignment horizontal="center"/>
    </xf>
    <xf numFmtId="166" fontId="2" fillId="0" borderId="40" xfId="1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166" fontId="6" fillId="0" borderId="0" xfId="0" applyNumberFormat="1" applyFont="1" applyAlignment="1">
      <alignment horizontal="center"/>
    </xf>
    <xf numFmtId="44" fontId="17" fillId="0" borderId="72" xfId="0" applyNumberFormat="1" applyFont="1" applyBorder="1" applyAlignment="1">
      <alignment horizontal="center" wrapText="1"/>
    </xf>
    <xf numFmtId="44" fontId="17" fillId="0" borderId="92" xfId="0" applyNumberFormat="1" applyFont="1" applyBorder="1" applyAlignment="1">
      <alignment horizontal="center" wrapText="1"/>
    </xf>
    <xf numFmtId="44" fontId="17" fillId="0" borderId="59" xfId="0" applyNumberFormat="1" applyFont="1" applyBorder="1" applyAlignment="1">
      <alignment horizontal="center" wrapText="1"/>
    </xf>
    <xf numFmtId="167" fontId="27" fillId="0" borderId="0" xfId="1" applyNumberFormat="1" applyFont="1" applyAlignment="1">
      <alignment horizontal="center"/>
    </xf>
    <xf numFmtId="49" fontId="4" fillId="0" borderId="19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46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4" fontId="17" fillId="0" borderId="73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4" fontId="17" fillId="0" borderId="24" xfId="0" applyNumberFormat="1" applyFont="1" applyBorder="1" applyAlignment="1">
      <alignment horizont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89" xfId="0" applyNumberFormat="1" applyFont="1" applyBorder="1" applyAlignment="1">
      <alignment horizontal="center" vertical="center"/>
    </xf>
    <xf numFmtId="49" fontId="4" fillId="0" borderId="49" xfId="0" applyNumberFormat="1" applyFont="1" applyBorder="1" applyAlignment="1">
      <alignment horizontal="center"/>
    </xf>
    <xf numFmtId="49" fontId="4" fillId="0" borderId="47" xfId="0" applyNumberFormat="1" applyFont="1" applyBorder="1" applyAlignment="1">
      <alignment horizontal="center"/>
    </xf>
    <xf numFmtId="49" fontId="4" fillId="0" borderId="48" xfId="0" applyNumberFormat="1" applyFont="1" applyBorder="1" applyAlignment="1">
      <alignment horizontal="center"/>
    </xf>
    <xf numFmtId="49" fontId="4" fillId="0" borderId="53" xfId="0" applyNumberFormat="1" applyFont="1" applyBorder="1" applyAlignment="1">
      <alignment horizontal="center"/>
    </xf>
    <xf numFmtId="49" fontId="4" fillId="0" borderId="55" xfId="0" applyNumberFormat="1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4" fontId="4" fillId="0" borderId="0" xfId="0" applyNumberFormat="1" applyFont="1" applyAlignment="1">
      <alignment horizontal="center"/>
    </xf>
    <xf numFmtId="44" fontId="6" fillId="0" borderId="0" xfId="0" applyNumberFormat="1" applyFont="1" applyAlignment="1">
      <alignment horizontal="center"/>
    </xf>
    <xf numFmtId="167" fontId="28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49" fontId="4" fillId="0" borderId="16" xfId="0" applyNumberFormat="1" applyFont="1" applyBorder="1" applyAlignment="1">
      <alignment horizontal="center"/>
    </xf>
    <xf numFmtId="49" fontId="4" fillId="0" borderId="76" xfId="0" applyNumberFormat="1" applyFont="1" applyBorder="1" applyAlignment="1">
      <alignment horizontal="center"/>
    </xf>
    <xf numFmtId="49" fontId="4" fillId="0" borderId="50" xfId="0" applyNumberFormat="1" applyFont="1" applyBorder="1" applyAlignment="1">
      <alignment horizontal="center"/>
    </xf>
    <xf numFmtId="49" fontId="4" fillId="0" borderId="52" xfId="0" applyNumberFormat="1" applyFont="1" applyBorder="1" applyAlignment="1">
      <alignment horizontal="center"/>
    </xf>
    <xf numFmtId="44" fontId="18" fillId="0" borderId="92" xfId="0" applyNumberFormat="1" applyFont="1" applyBorder="1" applyAlignment="1">
      <alignment horizontal="center"/>
    </xf>
    <xf numFmtId="44" fontId="18" fillId="0" borderId="59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4" fillId="0" borderId="80" xfId="0" applyNumberFormat="1" applyFont="1" applyBorder="1" applyAlignment="1">
      <alignment horizontal="center" vertical="center"/>
    </xf>
    <xf numFmtId="167" fontId="1" fillId="0" borderId="0" xfId="0" applyNumberFormat="1" applyFont="1" applyAlignment="1">
      <alignment horizontal="center"/>
    </xf>
    <xf numFmtId="0" fontId="5" fillId="0" borderId="71" xfId="0" applyFont="1" applyBorder="1" applyAlignment="1">
      <alignment horizontal="center"/>
    </xf>
    <xf numFmtId="0" fontId="5" fillId="0" borderId="73" xfId="0" applyFont="1" applyBorder="1" applyAlignment="1">
      <alignment horizontal="center"/>
    </xf>
    <xf numFmtId="44" fontId="9" fillId="0" borderId="71" xfId="1" applyFont="1" applyBorder="1" applyAlignment="1">
      <alignment horizontal="center" wrapText="1"/>
    </xf>
    <xf numFmtId="44" fontId="9" fillId="0" borderId="73" xfId="1" applyFont="1" applyBorder="1" applyAlignment="1">
      <alignment horizontal="center" wrapText="1"/>
    </xf>
    <xf numFmtId="49" fontId="1" fillId="0" borderId="29" xfId="0" applyNumberFormat="1" applyFont="1" applyBorder="1" applyAlignment="1">
      <alignment horizontal="center"/>
    </xf>
    <xf numFmtId="49" fontId="1" fillId="0" borderId="77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44" fontId="28" fillId="0" borderId="0" xfId="0" applyNumberFormat="1" applyFont="1" applyAlignment="1">
      <alignment horizontal="center"/>
    </xf>
    <xf numFmtId="4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4" fontId="17" fillId="0" borderId="32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44" fontId="1" fillId="0" borderId="56" xfId="0" applyNumberFormat="1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worksheet" Target="worksheets/sheet11.xml"/><Relationship Id="rId18" Type="http://schemas.openxmlformats.org/officeDocument/2006/relationships/theme" Target="theme/theme1.xml"/><Relationship Id="rId3" Type="http://schemas.openxmlformats.org/officeDocument/2006/relationships/chartsheet" Target="chartsheets/sheet2.xml"/><Relationship Id="rId21" Type="http://schemas.openxmlformats.org/officeDocument/2006/relationships/calcChain" Target="calcChain.xml"/><Relationship Id="rId7" Type="http://schemas.openxmlformats.org/officeDocument/2006/relationships/worksheet" Target="worksheets/sheet5.xml"/><Relationship Id="rId12" Type="http://schemas.openxmlformats.org/officeDocument/2006/relationships/worksheet" Target="worksheets/sheet10.xml"/><Relationship Id="rId17" Type="http://schemas.openxmlformats.org/officeDocument/2006/relationships/externalLink" Target="externalLinks/externalLink1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14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worksheet" Target="worksheets/sheet9.xml"/><Relationship Id="rId5" Type="http://schemas.openxmlformats.org/officeDocument/2006/relationships/worksheet" Target="worksheets/sheet3.xml"/><Relationship Id="rId15" Type="http://schemas.openxmlformats.org/officeDocument/2006/relationships/worksheet" Target="worksheets/sheet13.xml"/><Relationship Id="rId10" Type="http://schemas.openxmlformats.org/officeDocument/2006/relationships/worksheet" Target="worksheets/sheet8.xml"/><Relationship Id="rId19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14" Type="http://schemas.openxmlformats.org/officeDocument/2006/relationships/worksheet" Target="worksheets/sheet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272322887349927E-2"/>
          <c:y val="1.6445027704870226E-2"/>
          <c:w val="0.8967637479050059"/>
          <c:h val="0.84515309330953425"/>
        </c:manualLayout>
      </c:layout>
      <c:lineChart>
        <c:grouping val="standard"/>
        <c:varyColors val="0"/>
        <c:ser>
          <c:idx val="0"/>
          <c:order val="0"/>
          <c:tx>
            <c:v>PREMAC Cash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'2016'!$C$5:$C$16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'2016'!$D$5:$D$16</c:f>
              <c:numCache>
                <c:formatCode>_("R"* #,##0.00_);_("R"* \(#,##0.00\);_("R"* "-"??_);_(@_)</c:formatCode>
                <c:ptCount val="12"/>
                <c:pt idx="0">
                  <c:v>51368.4</c:v>
                </c:pt>
                <c:pt idx="1">
                  <c:v>35847.300000000003</c:v>
                </c:pt>
                <c:pt idx="2">
                  <c:v>5871</c:v>
                </c:pt>
                <c:pt idx="3">
                  <c:v>33664.199999999997</c:v>
                </c:pt>
                <c:pt idx="4">
                  <c:v>40766.400000000001</c:v>
                </c:pt>
                <c:pt idx="5">
                  <c:v>77531.39999999998</c:v>
                </c:pt>
                <c:pt idx="6">
                  <c:v>40441.900000000009</c:v>
                </c:pt>
                <c:pt idx="7">
                  <c:v>88982.7</c:v>
                </c:pt>
                <c:pt idx="8">
                  <c:v>42784.200000000004</c:v>
                </c:pt>
                <c:pt idx="9">
                  <c:v>26151.599999999999</c:v>
                </c:pt>
                <c:pt idx="10">
                  <c:v>5768.4</c:v>
                </c:pt>
                <c:pt idx="11">
                  <c:v>3442.8</c:v>
                </c:pt>
              </c:numCache>
            </c:numRef>
          </c:val>
          <c:smooth val="1"/>
        </c:ser>
        <c:ser>
          <c:idx val="1"/>
          <c:order val="1"/>
          <c:tx>
            <c:v>PREMAC Accounts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'2016'!$C$5:$C$16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'2016'!$E$5:$E$16</c:f>
              <c:numCache>
                <c:formatCode>_("R"* #,##0.00_);_("R"* \(#,##0.00\);_("R"* "-"??_);_(@_)</c:formatCode>
                <c:ptCount val="12"/>
                <c:pt idx="0">
                  <c:v>224077.80000000002</c:v>
                </c:pt>
                <c:pt idx="1">
                  <c:v>114954.4</c:v>
                </c:pt>
                <c:pt idx="2">
                  <c:v>194966.6</c:v>
                </c:pt>
                <c:pt idx="3">
                  <c:v>147318.6</c:v>
                </c:pt>
                <c:pt idx="4">
                  <c:v>203444.5</c:v>
                </c:pt>
                <c:pt idx="5">
                  <c:v>107479.2</c:v>
                </c:pt>
                <c:pt idx="6">
                  <c:v>158127.59999999998</c:v>
                </c:pt>
                <c:pt idx="7">
                  <c:v>91950.12</c:v>
                </c:pt>
                <c:pt idx="8">
                  <c:v>140071.6</c:v>
                </c:pt>
                <c:pt idx="9">
                  <c:v>50821.2</c:v>
                </c:pt>
                <c:pt idx="10">
                  <c:v>39324.300000000003</c:v>
                </c:pt>
                <c:pt idx="11">
                  <c:v>110431.8</c:v>
                </c:pt>
              </c:numCache>
            </c:numRef>
          </c:val>
          <c:smooth val="1"/>
        </c:ser>
        <c:ser>
          <c:idx val="2"/>
          <c:order val="2"/>
          <c:tx>
            <c:v>AGRIGEL Cash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'2016'!$C$5:$C$16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'2016'!$F$5:$F$16</c:f>
              <c:numCache>
                <c:formatCode>_("R"* #,##0.00_);_("R"* \(#,##0.00\);_("R"* "-"??_);_(@_)</c:formatCode>
                <c:ptCount val="12"/>
                <c:pt idx="0">
                  <c:v>19494</c:v>
                </c:pt>
                <c:pt idx="1">
                  <c:v>145920</c:v>
                </c:pt>
                <c:pt idx="2">
                  <c:v>9405</c:v>
                </c:pt>
                <c:pt idx="3">
                  <c:v>0</c:v>
                </c:pt>
                <c:pt idx="4">
                  <c:v>99351</c:v>
                </c:pt>
                <c:pt idx="5">
                  <c:v>233734.2</c:v>
                </c:pt>
                <c:pt idx="6">
                  <c:v>345534</c:v>
                </c:pt>
                <c:pt idx="7">
                  <c:v>489190.42</c:v>
                </c:pt>
                <c:pt idx="8">
                  <c:v>49008.6</c:v>
                </c:pt>
                <c:pt idx="9">
                  <c:v>325755</c:v>
                </c:pt>
                <c:pt idx="10">
                  <c:v>798</c:v>
                </c:pt>
                <c:pt idx="11">
                  <c:v>4104</c:v>
                </c:pt>
              </c:numCache>
            </c:numRef>
          </c:val>
          <c:smooth val="1"/>
        </c:ser>
        <c:ser>
          <c:idx val="3"/>
          <c:order val="3"/>
          <c:tx>
            <c:v>AGRIGEL Accounts</c:v>
          </c:tx>
          <c:cat>
            <c:strRef>
              <c:f>'2016'!$C$5:$C$16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'2016'!$G$5:$G$16</c:f>
              <c:numCache>
                <c:formatCode>_("R"* #,##0.00_);_("R"* \(#,##0.00\);_("R"*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29754</c:v>
                </c:pt>
                <c:pt idx="7">
                  <c:v>46455</c:v>
                </c:pt>
                <c:pt idx="8">
                  <c:v>15504</c:v>
                </c:pt>
                <c:pt idx="9">
                  <c:v>55689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v>InfantMed</c:v>
          </c:tx>
          <c:cat>
            <c:strRef>
              <c:f>'2016'!$C$5:$C$16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'2016'!$H$5:$H$16</c:f>
              <c:numCache>
                <c:formatCode>_("R"* #,##0.00_);_("R"* \(#,##0.00\);_("R"*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9120</c:v>
                </c:pt>
                <c:pt idx="5">
                  <c:v>0</c:v>
                </c:pt>
                <c:pt idx="6">
                  <c:v>912</c:v>
                </c:pt>
                <c:pt idx="7">
                  <c:v>912</c:v>
                </c:pt>
                <c:pt idx="8">
                  <c:v>912</c:v>
                </c:pt>
                <c:pt idx="9">
                  <c:v>912</c:v>
                </c:pt>
                <c:pt idx="10">
                  <c:v>912</c:v>
                </c:pt>
                <c:pt idx="1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v>Total Sales</c:v>
          </c:tx>
          <c:cat>
            <c:strRef>
              <c:f>'2016'!$C$5:$C$16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'2016'!$I$5:$I$16</c:f>
              <c:numCache>
                <c:formatCode>_("R"* #,##0.00_);_("R"* \(#,##0.00\);_("R"* "-"??_);_(@_)</c:formatCode>
                <c:ptCount val="12"/>
                <c:pt idx="0">
                  <c:v>294940.2</c:v>
                </c:pt>
                <c:pt idx="1">
                  <c:v>296721.7</c:v>
                </c:pt>
                <c:pt idx="2">
                  <c:v>210242.6</c:v>
                </c:pt>
                <c:pt idx="3">
                  <c:v>180982.8</c:v>
                </c:pt>
                <c:pt idx="4">
                  <c:v>352681.9</c:v>
                </c:pt>
                <c:pt idx="5">
                  <c:v>418744.8</c:v>
                </c:pt>
                <c:pt idx="6">
                  <c:v>574769.5</c:v>
                </c:pt>
                <c:pt idx="7">
                  <c:v>717490.24</c:v>
                </c:pt>
                <c:pt idx="8">
                  <c:v>248280.40000000002</c:v>
                </c:pt>
                <c:pt idx="9">
                  <c:v>459328.8</c:v>
                </c:pt>
                <c:pt idx="10">
                  <c:v>46802.700000000004</c:v>
                </c:pt>
                <c:pt idx="11">
                  <c:v>117978.6</c:v>
                </c:pt>
              </c:numCache>
            </c:numRef>
          </c:val>
          <c:smooth val="1"/>
        </c:ser>
        <c:ser>
          <c:idx val="6"/>
          <c:order val="6"/>
          <c:cat>
            <c:strRef>
              <c:f>'2016'!$C$5:$C$16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'2016'!$J$8:$J$9</c:f>
              <c:numCache>
                <c:formatCode>General</c:formatCode>
                <c:ptCount val="2"/>
                <c:pt idx="0" formatCode="_(&quot;R&quot;* #,##0.00_);_(&quot;R&quot;* \(#,##0.00\);_(&quot;R&quot;* &quot;-&quot;??_);_(@_)">
                  <c:v>533664.69999999995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99776"/>
        <c:axId val="97509760"/>
      </c:lineChart>
      <c:catAx>
        <c:axId val="9749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509760"/>
        <c:crosses val="autoZero"/>
        <c:auto val="1"/>
        <c:lblAlgn val="ctr"/>
        <c:lblOffset val="100"/>
        <c:noMultiLvlLbl val="0"/>
      </c:catAx>
      <c:valAx>
        <c:axId val="97509760"/>
        <c:scaling>
          <c:orientation val="minMax"/>
          <c:max val="6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&quot;R&quot;* #,##0.00_);_(&quot;R&quot;* \(#,##0.00\);_(&quot;R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499776"/>
        <c:crosses val="autoZero"/>
        <c:crossBetween val="between"/>
        <c:majorUnit val="100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3027627570650055"/>
          <c:y val="0.95207527299828265"/>
          <c:w val="0.76972372429349945"/>
          <c:h val="2.935535497087254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verticalDpi="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Monthly Account Sales</a:t>
            </a:r>
          </a:p>
        </c:rich>
      </c:tx>
      <c:layout>
        <c:manualLayout>
          <c:xMode val="edge"/>
          <c:yMode val="edge"/>
          <c:x val="0.40288568257491675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42730299667037"/>
          <c:y val="5.3833605220228384E-2"/>
          <c:w val="0.88457269700332963"/>
          <c:h val="0.90048939641109293"/>
        </c:manualLayout>
      </c:layout>
      <c:barChart>
        <c:barDir val="col"/>
        <c:grouping val="clustered"/>
        <c:varyColors val="0"/>
        <c:ser>
          <c:idx val="0"/>
          <c:order val="0"/>
          <c:tx>
            <c:v>March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474776" mc:Ignorable="a14" a14:legacySpreadsheetColorIndex="24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9999FF" mc:Ignorable="a14" a14:legacySpreadsheetColorIndex="24"/>
                </a:gs>
                <a:gs pos="100000">
                  <a:srgbClr xmlns:mc="http://schemas.openxmlformats.org/markup-compatibility/2006" xmlns:a14="http://schemas.microsoft.com/office/drawing/2010/main" val="474776" mc:Ignorable="a14" a14:legacySpreadsheetColorIndex="24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'PREMAC Accounts'!$B$29</c:f>
              <c:numCache>
                <c:formatCode>_("R"* #,##0.00_);_("R"* \(#,##0.00\);_("R"* "-"??_);_(@_)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April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4700" mc:Ignorable="a14" a14:legacySpreadsheetColorIndex="52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9900" mc:Ignorable="a14" a14:legacySpreadsheetColorIndex="52"/>
                </a:gs>
                <a:gs pos="100000">
                  <a:srgbClr xmlns:mc="http://schemas.openxmlformats.org/markup-compatibility/2006" xmlns:a14="http://schemas.microsoft.com/office/drawing/2010/main" val="764700" mc:Ignorable="a14" a14:legacySpreadsheetColorIndex="52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'PREMAC Accounts'!$C$29</c:f>
              <c:numCache>
                <c:formatCode>_("R"* #,##0.00_);_("R"* \(#,##0.00\);_("R"* "-"??_);_(@_)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v>May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18472F" mc:Ignorable="a14" a14:legacySpreadsheetColorIndex="57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339966" mc:Ignorable="a14" a14:legacySpreadsheetColorIndex="57"/>
                </a:gs>
                <a:gs pos="100000">
                  <a:srgbClr xmlns:mc="http://schemas.openxmlformats.org/markup-compatibility/2006" xmlns:a14="http://schemas.microsoft.com/office/drawing/2010/main" val="18472F" mc:Ignorable="a14" a14:legacySpreadsheetColorIndex="57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'PREMAC Accounts'!$D$29</c:f>
              <c:numCache>
                <c:formatCode>_("R"* #,##0.00_);_("R"* \(#,##0.00\);_("R"* "-"??_);_(@_)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v>June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0000" mc:Ignorable="a14" a14:legacySpreadsheetColorIndex="10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0000" mc:Ignorable="a14" a14:legacySpreadsheetColorIndex="10"/>
                </a:gs>
                <a:gs pos="100000">
                  <a:srgbClr xmlns:mc="http://schemas.openxmlformats.org/markup-compatibility/2006" xmlns:a14="http://schemas.microsoft.com/office/drawing/2010/main" val="760000" mc:Ignorable="a14" a14:legacySpreadsheetColorIndex="1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'PREMAC Accounts'!$E$29</c:f>
              <c:numCache>
                <c:formatCode>_("R"* #,##0.00_);_("R"* \(#,##0.00\);_("R"* "-"??_);_(@_)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v>July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7600" mc:Ignorable="a14" a14:legacySpreadsheetColorIndex="34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FF00" mc:Ignorable="a14" a14:legacySpreadsheetColorIndex="34"/>
                </a:gs>
                <a:gs pos="100000">
                  <a:srgbClr xmlns:mc="http://schemas.openxmlformats.org/markup-compatibility/2006" xmlns:a14="http://schemas.microsoft.com/office/drawing/2010/main" val="767600" mc:Ignorable="a14" a14:legacySpreadsheetColorIndex="34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'PREMAC Accounts'!$F$29</c:f>
              <c:numCache>
                <c:formatCode>_("R"* #,##0.00_);_("R"* \(#,##0.00\);_("R"* "-"??_);_(@_)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v>August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7676" mc:Ignorable="a14" a14:legacySpreadsheetColorIndex="15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FFFF" mc:Ignorable="a14" a14:legacySpreadsheetColorIndex="15"/>
                </a:gs>
                <a:gs pos="100000">
                  <a:srgbClr xmlns:mc="http://schemas.openxmlformats.org/markup-compatibility/2006" xmlns:a14="http://schemas.microsoft.com/office/drawing/2010/main" val="007676" mc:Ignorable="a14" a14:legacySpreadsheetColorIndex="15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'PREMAC Accounts'!$G$29</c:f>
              <c:numCache>
                <c:formatCode>_("R"* #,##0.00_);_("R"* \(#,##0.00\);_("R"* "-"??_);_(@_)</c:formatCode>
                <c:ptCount val="1"/>
                <c:pt idx="0">
                  <c:v>0</c:v>
                </c:pt>
              </c:numCache>
            </c:numRef>
          </c:val>
        </c:ser>
        <c:ser>
          <c:idx val="6"/>
          <c:order val="6"/>
          <c:tx>
            <c:v>September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3B003B" mc:Ignorable="a14" a14:legacySpreadsheetColorIndex="20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800080" mc:Ignorable="a14" a14:legacySpreadsheetColorIndex="20"/>
                </a:gs>
                <a:gs pos="100000">
                  <a:srgbClr xmlns:mc="http://schemas.openxmlformats.org/markup-compatibility/2006" xmlns:a14="http://schemas.microsoft.com/office/drawing/2010/main" val="3B003B" mc:Ignorable="a14" a14:legacySpreadsheetColorIndex="2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'PREMAC Accounts'!$H$29</c:f>
              <c:numCache>
                <c:formatCode>_("R"* #,##0.00_);_("R"* \(#,##0.00\);_("R"* "-"??_);_(@_)</c:formatCode>
                <c:ptCount val="1"/>
                <c:pt idx="0">
                  <c:v>0</c:v>
                </c:pt>
              </c:numCache>
            </c:numRef>
          </c:val>
        </c:ser>
        <c:ser>
          <c:idx val="7"/>
          <c:order val="7"/>
          <c:tx>
            <c:v>October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475E" mc:Ignorable="a14" a14:legacySpreadsheetColorIndex="45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99CC" mc:Ignorable="a14" a14:legacySpreadsheetColorIndex="45"/>
                </a:gs>
                <a:gs pos="100000">
                  <a:srgbClr xmlns:mc="http://schemas.openxmlformats.org/markup-compatibility/2006" xmlns:a14="http://schemas.microsoft.com/office/drawing/2010/main" val="76475E" mc:Ignorable="a14" a14:legacySpreadsheetColorIndex="45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'PREMAC Accounts'!$I$29</c:f>
              <c:numCache>
                <c:formatCode>_("R"* #,##0.00_);_("R"* \(#,##0.00\);_("R"* "-"??_);_(@_)</c:formatCode>
                <c:ptCount val="1"/>
                <c:pt idx="0">
                  <c:v>0</c:v>
                </c:pt>
              </c:numCache>
            </c:numRef>
          </c:val>
        </c:ser>
        <c:ser>
          <c:idx val="8"/>
          <c:order val="8"/>
          <c:tx>
            <c:v>November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7600" mc:Ignorable="a14" a14:legacySpreadsheetColorIndex="11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FF00" mc:Ignorable="a14" a14:legacySpreadsheetColorIndex="11"/>
                </a:gs>
                <a:gs pos="100000">
                  <a:srgbClr xmlns:mc="http://schemas.openxmlformats.org/markup-compatibility/2006" xmlns:a14="http://schemas.microsoft.com/office/drawing/2010/main" val="007600" mc:Ignorable="a14" a14:legacySpreadsheetColorIndex="11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'PREMAC Accounts'!$J$29</c:f>
              <c:numCache>
                <c:formatCode>_("R"* #,##0.00_);_("R"* \(#,##0.00\);_("R"* "-"??_);_(@_)</c:formatCode>
                <c:ptCount val="1"/>
                <c:pt idx="0">
                  <c:v>0</c:v>
                </c:pt>
              </c:numCache>
            </c:numRef>
          </c:val>
        </c:ser>
        <c:ser>
          <c:idx val="9"/>
          <c:order val="9"/>
          <c:tx>
            <c:v>December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3366FF" mc:Ignorable="a14" a14:legacySpreadsheetColorIndex="48"/>
                </a:gs>
                <a:gs pos="10000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'PREMAC Accounts'!$K$29</c:f>
              <c:numCache>
                <c:formatCode>_("R"* #,##0.00_);_("R"* \(#,##0.00\);_("R"* "-"??_);_(@_)</c:formatCode>
                <c:ptCount val="1"/>
                <c:pt idx="0">
                  <c:v>0</c:v>
                </c:pt>
              </c:numCache>
            </c:numRef>
          </c:val>
        </c:ser>
        <c:ser>
          <c:idx val="10"/>
          <c:order val="10"/>
          <c:tx>
            <c:v>January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5E47" mc:Ignorable="a14" a14:legacySpreadsheetColorIndex="47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CC99" mc:Ignorable="a14" a14:legacySpreadsheetColorIndex="47"/>
                </a:gs>
                <a:gs pos="100000">
                  <a:srgbClr xmlns:mc="http://schemas.openxmlformats.org/markup-compatibility/2006" xmlns:a14="http://schemas.microsoft.com/office/drawing/2010/main" val="765E47" mc:Ignorable="a14" a14:legacySpreadsheetColorIndex="47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'PREMAC Accounts'!$L$29</c:f>
              <c:numCache>
                <c:formatCode>_("R"* #,##0.00_);_("R"* \(#,##0.00\);_("R"* "-"??_);_(@_)</c:formatCode>
                <c:ptCount val="1"/>
                <c:pt idx="0">
                  <c:v>0</c:v>
                </c:pt>
              </c:numCache>
            </c:numRef>
          </c:val>
        </c:ser>
        <c:ser>
          <c:idx val="11"/>
          <c:order val="11"/>
          <c:tx>
            <c:v>February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0076" mc:Ignorable="a14" a14:legacySpreadsheetColorIndex="33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00FF" mc:Ignorable="a14" a14:legacySpreadsheetColorIndex="33"/>
                </a:gs>
                <a:gs pos="100000">
                  <a:srgbClr xmlns:mc="http://schemas.openxmlformats.org/markup-compatibility/2006" xmlns:a14="http://schemas.microsoft.com/office/drawing/2010/main" val="760076" mc:Ignorable="a14" a14:legacySpreadsheetColorIndex="33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'2016'!$G$16</c:f>
              <c:numCache>
                <c:formatCode>_("R"* #,##0.00_);_("R"* \(#,##0.00\);_("R"* "-"??_);_(@_)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98499584"/>
        <c:axId val="98501376"/>
      </c:barChart>
      <c:catAx>
        <c:axId val="98499584"/>
        <c:scaling>
          <c:orientation val="minMax"/>
        </c:scaling>
        <c:delete val="1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out"/>
        <c:minorTickMark val="none"/>
        <c:tickLblPos val="nextTo"/>
        <c:crossAx val="98501376"/>
        <c:crosses val="autoZero"/>
        <c:auto val="1"/>
        <c:lblAlgn val="ctr"/>
        <c:lblOffset val="100"/>
        <c:noMultiLvlLbl val="0"/>
      </c:catAx>
      <c:valAx>
        <c:axId val="98501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&quot;R&quot;* #,##0.00_);_(&quot;R&quot;* \(#,##0.00\);_(&quot;R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499584"/>
        <c:crosses val="autoZero"/>
        <c:crossBetween val="between"/>
        <c:majorUnit val="250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26193118756938"/>
          <c:y val="0.95921696574225124"/>
          <c:w val="0.78579356270810208"/>
          <c:h val="3.915171288743879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Monthly Cash Sales</a:t>
            </a:r>
          </a:p>
        </c:rich>
      </c:tx>
      <c:layout>
        <c:manualLayout>
          <c:xMode val="edge"/>
          <c:yMode val="edge"/>
          <c:x val="0.42088934850051707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54912099276112"/>
          <c:y val="5.4237288135593219E-2"/>
          <c:w val="0.89245087900723885"/>
          <c:h val="0.89661016949152539"/>
        </c:manualLayout>
      </c:layout>
      <c:barChart>
        <c:barDir val="col"/>
        <c:grouping val="clustered"/>
        <c:varyColors val="0"/>
        <c:ser>
          <c:idx val="0"/>
          <c:order val="0"/>
          <c:tx>
            <c:v>March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474776" mc:Ignorable="a14" a14:legacySpreadsheetColorIndex="24">
                      <a:gamma/>
                      <a:shade val="46275"/>
                      <a:invGamma/>
                    </a:srgbClr>
                  </a:gs>
                  <a:gs pos="50000">
                    <a:srgbClr xmlns:mc="http://schemas.openxmlformats.org/markup-compatibility/2006" xmlns:a14="http://schemas.microsoft.com/office/drawing/2010/main" val="9999FF" mc:Ignorable="a14" a14:legacySpreadsheetColorIndex="24"/>
                  </a:gs>
                  <a:gs pos="100000">
                    <a:srgbClr xmlns:mc="http://schemas.openxmlformats.org/markup-compatibility/2006" xmlns:a14="http://schemas.microsoft.com/office/drawing/2010/main" val="474776" mc:Ignorable="a14" a14:legacySpreadsheetColorIndex="24">
                      <a:gamma/>
                      <a:shade val="46275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val>
            <c:numRef>
              <c:f>'2016'!$D$5</c:f>
              <c:numCache>
                <c:formatCode>_("R"* #,##0.00_);_("R"* \(#,##0.00\);_("R"* "-"??_);_(@_)</c:formatCode>
                <c:ptCount val="1"/>
                <c:pt idx="0">
                  <c:v>51368.4</c:v>
                </c:pt>
              </c:numCache>
            </c:numRef>
          </c:val>
        </c:ser>
        <c:ser>
          <c:idx val="1"/>
          <c:order val="1"/>
          <c:tx>
            <c:v>April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2F00" mc:Ignorable="a14" a14:legacySpreadsheetColorIndex="53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6600" mc:Ignorable="a14" a14:legacySpreadsheetColorIndex="53"/>
                </a:gs>
                <a:gs pos="100000">
                  <a:srgbClr xmlns:mc="http://schemas.openxmlformats.org/markup-compatibility/2006" xmlns:a14="http://schemas.microsoft.com/office/drawing/2010/main" val="762F00" mc:Ignorable="a14" a14:legacySpreadsheetColorIndex="53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764700" mc:Ignorable="a14" a14:legacySpreadsheetColorIndex="52">
                      <a:gamma/>
                      <a:shade val="46275"/>
                      <a:invGamma/>
                    </a:srgbClr>
                  </a:gs>
                  <a:gs pos="50000">
                    <a:srgbClr xmlns:mc="http://schemas.openxmlformats.org/markup-compatibility/2006" xmlns:a14="http://schemas.microsoft.com/office/drawing/2010/main" val="FF9900" mc:Ignorable="a14" a14:legacySpreadsheetColorIndex="52"/>
                  </a:gs>
                  <a:gs pos="100000">
                    <a:srgbClr xmlns:mc="http://schemas.openxmlformats.org/markup-compatibility/2006" xmlns:a14="http://schemas.microsoft.com/office/drawing/2010/main" val="764700" mc:Ignorable="a14" a14:legacySpreadsheetColorIndex="52">
                      <a:gamma/>
                      <a:shade val="46275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val>
            <c:numRef>
              <c:f>'2016'!$D$6</c:f>
              <c:numCache>
                <c:formatCode>_("R"* #,##0.00_);_("R"* \(#,##0.00\);_("R"* "-"??_);_(@_)</c:formatCode>
                <c:ptCount val="1"/>
                <c:pt idx="0">
                  <c:v>35847.300000000003</c:v>
                </c:pt>
              </c:numCache>
            </c:numRef>
          </c:val>
        </c:ser>
        <c:ser>
          <c:idx val="2"/>
          <c:order val="2"/>
          <c:tx>
            <c:v>May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3B00" mc:Ignorable="a14" a14:legacySpreadsheetColorIndex="17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8000" mc:Ignorable="a14" a14:legacySpreadsheetColorIndex="17"/>
                </a:gs>
                <a:gs pos="100000">
                  <a:srgbClr xmlns:mc="http://schemas.openxmlformats.org/markup-compatibility/2006" xmlns:a14="http://schemas.microsoft.com/office/drawing/2010/main" val="003B00" mc:Ignorable="a14" a14:legacySpreadsheetColorIndex="17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'2016'!$D$7</c:f>
              <c:numCache>
                <c:formatCode>_("R"* #,##0.00_);_("R"* \(#,##0.00\);_("R"* "-"??_);_(@_)</c:formatCode>
                <c:ptCount val="1"/>
                <c:pt idx="0">
                  <c:v>5871</c:v>
                </c:pt>
              </c:numCache>
            </c:numRef>
          </c:val>
        </c:ser>
        <c:ser>
          <c:idx val="3"/>
          <c:order val="3"/>
          <c:tx>
            <c:v>June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0000" mc:Ignorable="a14" a14:legacySpreadsheetColorIndex="10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0000" mc:Ignorable="a14" a14:legacySpreadsheetColorIndex="10"/>
                </a:gs>
                <a:gs pos="100000">
                  <a:srgbClr xmlns:mc="http://schemas.openxmlformats.org/markup-compatibility/2006" xmlns:a14="http://schemas.microsoft.com/office/drawing/2010/main" val="760000" mc:Ignorable="a14" a14:legacySpreadsheetColorIndex="1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'2016'!$D$8</c:f>
              <c:numCache>
                <c:formatCode>_("R"* #,##0.00_);_("R"* \(#,##0.00\);_("R"* "-"??_);_(@_)</c:formatCode>
                <c:ptCount val="1"/>
                <c:pt idx="0">
                  <c:v>33664.199999999997</c:v>
                </c:pt>
              </c:numCache>
            </c:numRef>
          </c:val>
        </c:ser>
        <c:ser>
          <c:idx val="4"/>
          <c:order val="4"/>
          <c:tx>
            <c:v>July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7600" mc:Ignorable="a14" a14:legacySpreadsheetColorIndex="34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FF00" mc:Ignorable="a14" a14:legacySpreadsheetColorIndex="34"/>
                </a:gs>
                <a:gs pos="100000">
                  <a:srgbClr xmlns:mc="http://schemas.openxmlformats.org/markup-compatibility/2006" xmlns:a14="http://schemas.microsoft.com/office/drawing/2010/main" val="767600" mc:Ignorable="a14" a14:legacySpreadsheetColorIndex="34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'2016'!$D$9</c:f>
              <c:numCache>
                <c:formatCode>_("R"* #,##0.00_);_("R"* \(#,##0.00\);_("R"* "-"??_);_(@_)</c:formatCode>
                <c:ptCount val="1"/>
                <c:pt idx="0">
                  <c:v>40766.400000000001</c:v>
                </c:pt>
              </c:numCache>
            </c:numRef>
          </c:val>
        </c:ser>
        <c:ser>
          <c:idx val="5"/>
          <c:order val="5"/>
          <c:tx>
            <c:v>August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7676" mc:Ignorable="a14" a14:legacySpreadsheetColorIndex="35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FFFF" mc:Ignorable="a14" a14:legacySpreadsheetColorIndex="35"/>
                </a:gs>
                <a:gs pos="100000">
                  <a:srgbClr xmlns:mc="http://schemas.openxmlformats.org/markup-compatibility/2006" xmlns:a14="http://schemas.microsoft.com/office/drawing/2010/main" val="007676" mc:Ignorable="a14" a14:legacySpreadsheetColorIndex="35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'2016'!$D$10</c:f>
              <c:numCache>
                <c:formatCode>_("R"* #,##0.00_);_("R"* \(#,##0.00\);_("R"* "-"??_);_(@_)</c:formatCode>
                <c:ptCount val="1"/>
                <c:pt idx="0">
                  <c:v>77531.39999999998</c:v>
                </c:pt>
              </c:numCache>
            </c:numRef>
          </c:val>
        </c:ser>
        <c:ser>
          <c:idx val="6"/>
          <c:order val="6"/>
          <c:tx>
            <c:v>September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3B003B" mc:Ignorable="a14" a14:legacySpreadsheetColorIndex="36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800080" mc:Ignorable="a14" a14:legacySpreadsheetColorIndex="36"/>
                </a:gs>
                <a:gs pos="100000">
                  <a:srgbClr xmlns:mc="http://schemas.openxmlformats.org/markup-compatibility/2006" xmlns:a14="http://schemas.microsoft.com/office/drawing/2010/main" val="3B003B" mc:Ignorable="a14" a14:legacySpreadsheetColorIndex="36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'2016'!$D$11</c:f>
              <c:numCache>
                <c:formatCode>_("R"* #,##0.00_);_("R"* \(#,##0.00\);_("R"* "-"??_);_(@_)</c:formatCode>
                <c:ptCount val="1"/>
                <c:pt idx="0">
                  <c:v>40441.900000000009</c:v>
                </c:pt>
              </c:numCache>
            </c:numRef>
          </c:val>
        </c:ser>
        <c:ser>
          <c:idx val="7"/>
          <c:order val="7"/>
          <c:tx>
            <c:v>October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475E" mc:Ignorable="a14" a14:legacySpreadsheetColorIndex="45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99CC" mc:Ignorable="a14" a14:legacySpreadsheetColorIndex="45"/>
                </a:gs>
                <a:gs pos="100000">
                  <a:srgbClr xmlns:mc="http://schemas.openxmlformats.org/markup-compatibility/2006" xmlns:a14="http://schemas.microsoft.com/office/drawing/2010/main" val="76475E" mc:Ignorable="a14" a14:legacySpreadsheetColorIndex="45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'2016'!$D$12</c:f>
              <c:numCache>
                <c:formatCode>_("R"* #,##0.00_);_("R"* \(#,##0.00\);_("R"* "-"??_);_(@_)</c:formatCode>
                <c:ptCount val="1"/>
                <c:pt idx="0">
                  <c:v>88982.7</c:v>
                </c:pt>
              </c:numCache>
            </c:numRef>
          </c:val>
        </c:ser>
        <c:ser>
          <c:idx val="8"/>
          <c:order val="8"/>
          <c:tx>
            <c:v>November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7600" mc:Ignorable="a14" a14:legacySpreadsheetColorIndex="11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FF00" mc:Ignorable="a14" a14:legacySpreadsheetColorIndex="11"/>
                </a:gs>
                <a:gs pos="100000">
                  <a:srgbClr xmlns:mc="http://schemas.openxmlformats.org/markup-compatibility/2006" xmlns:a14="http://schemas.microsoft.com/office/drawing/2010/main" val="007600" mc:Ignorable="a14" a14:legacySpreadsheetColorIndex="11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'2016'!$D$13</c:f>
              <c:numCache>
                <c:formatCode>_("R"* #,##0.00_);_("R"* \(#,##0.00\);_("R"* "-"??_);_(@_)</c:formatCode>
                <c:ptCount val="1"/>
                <c:pt idx="0">
                  <c:v>42784.200000000004</c:v>
                </c:pt>
              </c:numCache>
            </c:numRef>
          </c:val>
        </c:ser>
        <c:ser>
          <c:idx val="9"/>
          <c:order val="9"/>
          <c:tx>
            <c:v>December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3366FF" mc:Ignorable="a14" a14:legacySpreadsheetColorIndex="48"/>
                </a:gs>
                <a:gs pos="10000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'2016'!$D$14</c:f>
              <c:numCache>
                <c:formatCode>_("R"* #,##0.00_);_("R"* \(#,##0.00\);_("R"* "-"??_);_(@_)</c:formatCode>
                <c:ptCount val="1"/>
                <c:pt idx="0">
                  <c:v>26151.599999999999</c:v>
                </c:pt>
              </c:numCache>
            </c:numRef>
          </c:val>
        </c:ser>
        <c:ser>
          <c:idx val="10"/>
          <c:order val="10"/>
          <c:tx>
            <c:v>January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5E47" mc:Ignorable="a14" a14:legacySpreadsheetColorIndex="47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CC99" mc:Ignorable="a14" a14:legacySpreadsheetColorIndex="47"/>
                </a:gs>
                <a:gs pos="100000">
                  <a:srgbClr xmlns:mc="http://schemas.openxmlformats.org/markup-compatibility/2006" xmlns:a14="http://schemas.microsoft.com/office/drawing/2010/main" val="765E47" mc:Ignorable="a14" a14:legacySpreadsheetColorIndex="47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'2016'!$D$15</c:f>
              <c:numCache>
                <c:formatCode>_("R"* #,##0.00_);_("R"* \(#,##0.00\);_("R"* "-"??_);_(@_)</c:formatCode>
                <c:ptCount val="1"/>
                <c:pt idx="0">
                  <c:v>5768.4</c:v>
                </c:pt>
              </c:numCache>
            </c:numRef>
          </c:val>
        </c:ser>
        <c:ser>
          <c:idx val="11"/>
          <c:order val="11"/>
          <c:tx>
            <c:v>February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0076" mc:Ignorable="a14" a14:legacySpreadsheetColorIndex="33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00FF" mc:Ignorable="a14" a14:legacySpreadsheetColorIndex="33"/>
                </a:gs>
                <a:gs pos="100000">
                  <a:srgbClr xmlns:mc="http://schemas.openxmlformats.org/markup-compatibility/2006" xmlns:a14="http://schemas.microsoft.com/office/drawing/2010/main" val="760076" mc:Ignorable="a14" a14:legacySpreadsheetColorIndex="33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'2016'!$D$16</c:f>
              <c:numCache>
                <c:formatCode>_("R"* #,##0.00_);_("R"* \(#,##0.00\);_("R"* "-"??_);_(@_)</c:formatCode>
                <c:ptCount val="1"/>
                <c:pt idx="0">
                  <c:v>3442.8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97266688"/>
        <c:axId val="97272576"/>
      </c:barChart>
      <c:catAx>
        <c:axId val="97266688"/>
        <c:scaling>
          <c:orientation val="minMax"/>
        </c:scaling>
        <c:delete val="1"/>
        <c:axPos val="b"/>
        <c:majorTickMark val="out"/>
        <c:minorTickMark val="none"/>
        <c:tickLblPos val="nextTo"/>
        <c:crossAx val="97272576"/>
        <c:crosses val="autoZero"/>
        <c:auto val="1"/>
        <c:lblAlgn val="ctr"/>
        <c:lblOffset val="100"/>
        <c:noMultiLvlLbl val="0"/>
      </c:catAx>
      <c:valAx>
        <c:axId val="97272576"/>
        <c:scaling>
          <c:orientation val="minMax"/>
          <c:max val="2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&quot;R&quot;* #,##0.00_);_(&quot;R&quot;* \(#,##0.00\);_(&quot;R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266688"/>
        <c:crosses val="autoZero"/>
        <c:crossBetween val="between"/>
        <c:majorUnit val="250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510858324715615"/>
          <c:y val="0.95932203389830506"/>
          <c:w val="0.73216132368148912"/>
          <c:h val="4.06779661016949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909155995947691E-2"/>
          <c:y val="0.15567282321899736"/>
          <c:w val="0.77712665609439158"/>
          <c:h val="0.699208443271767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765E47" mc:Ignorable="a14" a14:legacySpreadsheetColorIndex="47">
                      <a:gamma/>
                      <a:shade val="46275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FFCC99" mc:Ignorable="a14" a14:legacySpreadsheetColorIndex="47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00FF" mc:Ignorable="a14" a14:legacySpreadsheetColorIndex="14"/>
                  </a:gs>
                  <a:gs pos="100000">
                    <a:srgbClr xmlns:mc="http://schemas.openxmlformats.org/markup-compatibility/2006" xmlns:a14="http://schemas.microsoft.com/office/drawing/2010/main" val="760076" mc:Ignorable="a14" a14:legacySpreadsheetColorIndex="14">
                      <a:gamma/>
                      <a:shade val="46275"/>
                      <a:invGamma/>
                    </a:srgbClr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FFCC" mc:Ignorable="a14" a14:legacySpreadsheetColorIndex="26"/>
                  </a:gs>
                  <a:gs pos="100000">
                    <a:srgbClr xmlns:mc="http://schemas.openxmlformats.org/markup-compatibility/2006" xmlns:a14="http://schemas.microsoft.com/office/drawing/2010/main" val="76765E" mc:Ignorable="a14" a14:legacySpreadsheetColorIndex="26">
                      <a:gamma/>
                      <a:shade val="46275"/>
                      <a:invGamma/>
                    </a:srgbClr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CCFFFF" mc:Ignorable="a14" a14:legacySpreadsheetColorIndex="27"/>
                  </a:gs>
                  <a:gs pos="100000">
                    <a:srgbClr xmlns:mc="http://schemas.openxmlformats.org/markup-compatibility/2006" xmlns:a14="http://schemas.microsoft.com/office/drawing/2010/main" val="5E7676" mc:Ignorable="a14" a14:legacySpreadsheetColorIndex="27">
                      <a:gamma/>
                      <a:shade val="46275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660066" mc:Ignorable="a14" a14:legacySpreadsheetColorIndex="28"/>
                  </a:gs>
                  <a:gs pos="100000">
                    <a:srgbClr xmlns:mc="http://schemas.openxmlformats.org/markup-compatibility/2006" xmlns:a14="http://schemas.microsoft.com/office/drawing/2010/main" val="2F002F" mc:Ignorable="a14" a14:legacySpreadsheetColorIndex="28">
                      <a:gamma/>
                      <a:shade val="46275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6600" mc:Ignorable="a14" a14:legacySpreadsheetColorIndex="53"/>
                  </a:gs>
                  <a:gs pos="100000">
                    <a:srgbClr xmlns:mc="http://schemas.openxmlformats.org/markup-compatibility/2006" xmlns:a14="http://schemas.microsoft.com/office/drawing/2010/main" val="762F00" mc:Ignorable="a14" a14:legacySpreadsheetColorIndex="53">
                      <a:gamma/>
                      <a:shade val="46275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0066CC" mc:Ignorable="a14" a14:legacySpreadsheetColorIndex="30"/>
                  </a:gs>
                  <a:gs pos="100000">
                    <a:srgbClr xmlns:mc="http://schemas.openxmlformats.org/markup-compatibility/2006" xmlns:a14="http://schemas.microsoft.com/office/drawing/2010/main" val="002F5E" mc:Ignorable="a14" a14:legacySpreadsheetColorIndex="30">
                      <a:gamma/>
                      <a:shade val="46275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0000" mc:Ignorable="a14" a14:legacySpreadsheetColorIndex="10"/>
                  </a:gs>
                  <a:gs pos="100000">
                    <a:srgbClr xmlns:mc="http://schemas.openxmlformats.org/markup-compatibility/2006" xmlns:a14="http://schemas.microsoft.com/office/drawing/2010/main" val="760000" mc:Ignorable="a14" a14:legacySpreadsheetColorIndex="10">
                      <a:gamma/>
                      <a:shade val="46275"/>
                      <a:invGamma/>
                    </a:srgbClr>
                  </a:gs>
                </a:gsLst>
                <a:lin ang="27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0000" mc:Ignorable="a14" a14:legacySpreadsheetColorIndex="10"/>
                  </a:gs>
                  <a:gs pos="100000">
                    <a:srgbClr xmlns:mc="http://schemas.openxmlformats.org/markup-compatibility/2006" xmlns:a14="http://schemas.microsoft.com/office/drawing/2010/main" val="760000" mc:Ignorable="a14" a14:legacySpreadsheetColorIndex="10">
                      <a:gamma/>
                      <a:shade val="46275"/>
                      <a:invGamma/>
                    </a:srgbClr>
                  </a:gs>
                </a:gsLst>
                <a:lin ang="27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99CC" mc:Ignorable="a14" a14:legacySpreadsheetColorIndex="45"/>
                  </a:gs>
                  <a:gs pos="100000">
                    <a:srgbClr xmlns:mc="http://schemas.openxmlformats.org/markup-compatibility/2006" xmlns:a14="http://schemas.microsoft.com/office/drawing/2010/main" val="76475E" mc:Ignorable="a14" a14:legacySpreadsheetColorIndex="45">
                      <a:gamma/>
                      <a:shade val="46275"/>
                      <a:invGamma/>
                    </a:srgbClr>
                  </a:gs>
                </a:gsLst>
                <a:lin ang="27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FF00" mc:Ignorable="a14" a14:legacySpreadsheetColorIndex="34"/>
                  </a:gs>
                  <a:gs pos="100000">
                    <a:srgbClr xmlns:mc="http://schemas.openxmlformats.org/markup-compatibility/2006" xmlns:a14="http://schemas.microsoft.com/office/drawing/2010/main" val="767600" mc:Ignorable="a14" a14:legacySpreadsheetColorIndex="34">
                      <a:gamma/>
                      <a:shade val="46275"/>
                      <a:invGamma/>
                    </a:srgbClr>
                  </a:gs>
                </a:gsLst>
                <a:lin ang="27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00FFFF" mc:Ignorable="a14" a14:legacySpreadsheetColorIndex="35"/>
                  </a:gs>
                  <a:gs pos="100000">
                    <a:srgbClr xmlns:mc="http://schemas.openxmlformats.org/markup-compatibility/2006" xmlns:a14="http://schemas.microsoft.com/office/drawing/2010/main" val="007676" mc:Ignorable="a14" a14:legacySpreadsheetColorIndex="35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CC99FF" mc:Ignorable="a14" a14:legacySpreadsheetColorIndex="46"/>
                  </a:gs>
                  <a:gs pos="100000">
                    <a:srgbClr xmlns:mc="http://schemas.openxmlformats.org/markup-compatibility/2006" xmlns:a14="http://schemas.microsoft.com/office/drawing/2010/main" val="5E4776" mc:Ignorable="a14" a14:legacySpreadsheetColorIndex="46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760000" mc:Ignorable="a14" a14:legacySpreadsheetColorIndex="10">
                      <a:gamma/>
                      <a:shade val="46275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FF0000" mc:Ignorable="a14" a14:legacySpreadsheetColorIndex="1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003B00" mc:Ignorable="a14" a14:legacySpreadsheetColorIndex="17">
                      <a:gamma/>
                      <a:shade val="46275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008000" mc:Ignorable="a14" a14:legacySpreadsheetColorIndex="17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000076" mc:Ignorable="a14" a14:legacySpreadsheetColorIndex="39">
                      <a:gamma/>
                      <a:shade val="46275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0000FF" mc:Ignorable="a14" a14:legacySpreadsheetColorIndex="39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FF00" mc:Ignorable="a14" a14:legacySpreadsheetColorIndex="34"/>
                  </a:gs>
                  <a:gs pos="100000">
                    <a:srgbClr xmlns:mc="http://schemas.openxmlformats.org/markup-compatibility/2006" xmlns:a14="http://schemas.microsoft.com/office/drawing/2010/main" val="767600" mc:Ignorable="a14" a14:legacySpreadsheetColorIndex="34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007600" mc:Ignorable="a14" a14:legacySpreadsheetColorIndex="11">
                      <a:gamma/>
                      <a:shade val="46275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00FF00" mc:Ignorable="a14" a14:legacySpreadsheetColorIndex="11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5E765E" mc:Ignorable="a14" a14:legacySpreadsheetColorIndex="42">
                      <a:gamma/>
                      <a:shade val="46275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CCFFCC" mc:Ignorable="a14" a14:legacySpreadsheetColorIndex="42"/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9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007600" mc:Ignorable="a14" a14:legacySpreadsheetColorIndex="11">
                      <a:gamma/>
                      <a:shade val="46275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00FF00" mc:Ignorable="a14" a14:legacySpreadsheetColorIndex="11"/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1"/>
              <c:layout>
                <c:manualLayout>
                  <c:x val="-3.0223637891868098E-2"/>
                  <c:y val="-1.35162985893254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457866051159301E-2"/>
                  <c:y val="2.251303679388366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7.6361088091682516E-2"/>
                  <c:y val="3.24988400196677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5.3290282123192791E-2"/>
                  <c:y val="4.908233436519653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2"/>
              <c:layout>
                <c:manualLayout>
                  <c:x val="-3.2196900064682357E-2"/>
                  <c:y val="4.69097431422655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3"/>
              <c:layout>
                <c:manualLayout>
                  <c:x val="-5.9630989738132141E-2"/>
                  <c:y val="1.474913261172178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4"/>
              <c:layout>
                <c:manualLayout>
                  <c:x val="-6.5888346484482815E-2"/>
                  <c:y val="-6.29796605239638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5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6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7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8"/>
              <c:layout>
                <c:manualLayout>
                  <c:x val="-1.1877212444889261E-2"/>
                  <c:y val="-5.87979141129786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'PREMAC Accounts'!$A$4:$A$28</c:f>
              <c:strCache>
                <c:ptCount val="24"/>
                <c:pt idx="0">
                  <c:v>600</c:v>
                </c:pt>
                <c:pt idx="1">
                  <c:v>AMC01</c:v>
                </c:pt>
                <c:pt idx="2">
                  <c:v>ANG01</c:v>
                </c:pt>
                <c:pt idx="3">
                  <c:v>BEL01</c:v>
                </c:pt>
                <c:pt idx="4">
                  <c:v>COM01</c:v>
                </c:pt>
                <c:pt idx="5">
                  <c:v>DBZ01</c:v>
                </c:pt>
                <c:pt idx="6">
                  <c:v>DOS01</c:v>
                </c:pt>
                <c:pt idx="7">
                  <c:v>EPE01</c:v>
                </c:pt>
                <c:pt idx="8">
                  <c:v>GRH01</c:v>
                </c:pt>
                <c:pt idx="9">
                  <c:v>HIG01</c:v>
                </c:pt>
                <c:pt idx="10">
                  <c:v>HIG02</c:v>
                </c:pt>
                <c:pt idx="11">
                  <c:v>HYD01</c:v>
                </c:pt>
                <c:pt idx="12">
                  <c:v>JAE01</c:v>
                </c:pt>
                <c:pt idx="13">
                  <c:v>JOY01</c:v>
                </c:pt>
                <c:pt idx="14">
                  <c:v>MAL01</c:v>
                </c:pt>
                <c:pt idx="15">
                  <c:v>MAL02</c:v>
                </c:pt>
                <c:pt idx="16">
                  <c:v>MEC01</c:v>
                </c:pt>
                <c:pt idx="17">
                  <c:v>POW01</c:v>
                </c:pt>
                <c:pt idx="18">
                  <c:v>SAN01</c:v>
                </c:pt>
                <c:pt idx="19">
                  <c:v>SAS01</c:v>
                </c:pt>
                <c:pt idx="20">
                  <c:v>THE01</c:v>
                </c:pt>
                <c:pt idx="21">
                  <c:v>TSH01</c:v>
                </c:pt>
                <c:pt idx="22">
                  <c:v>VRY01</c:v>
                </c:pt>
                <c:pt idx="23">
                  <c:v>ZUL01</c:v>
                </c:pt>
              </c:strCache>
            </c:strRef>
          </c:cat>
          <c:val>
            <c:numRef>
              <c:f>'PREMAC Accounts'!$N$4:$N$28</c:f>
              <c:numCache>
                <c:formatCode>_("R"* #,##0.00_);_("R"* \(#,##0.00\);_("R"* "-"??_);_(@_)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1"/>
  <sheetViews>
    <sheetView workbookViewId="0"/>
  </sheetViews>
  <pageMargins left="0.75" right="0.75" top="1" bottom="1" header="0.5" footer="0.5"/>
  <pageSetup orientation="landscape" verticalDpi="200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2"/>
  <sheetViews>
    <sheetView workbookViewId="0"/>
  </sheetViews>
  <pageMargins left="0.75" right="0.75" top="1" bottom="1" header="0.5" footer="0.5"/>
  <pageSetup paperSize="9" orientation="landscape" verticalDpi="2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114299</xdr:rowOff>
    </xdr:from>
    <xdr:to>
      <xdr:col>8</xdr:col>
      <xdr:colOff>1228725</xdr:colOff>
      <xdr:row>78</xdr:row>
      <xdr:rowOff>9524</xdr:rowOff>
    </xdr:to>
    <xdr:graphicFrame macro="">
      <xdr:nvGraphicFramePr>
        <xdr:cNvPr id="109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78</xdr:row>
      <xdr:rowOff>123825</xdr:rowOff>
    </xdr:from>
    <xdr:to>
      <xdr:col>2</xdr:col>
      <xdr:colOff>866775</xdr:colOff>
      <xdr:row>80</xdr:row>
      <xdr:rowOff>0</xdr:rowOff>
    </xdr:to>
    <xdr:sp macro="" textlink="">
      <xdr:nvSpPr>
        <xdr:cNvPr id="1030" name="Rectangle 6"/>
        <xdr:cNvSpPr>
          <a:spLocks noChangeArrowheads="1"/>
        </xdr:cNvSpPr>
      </xdr:nvSpPr>
      <xdr:spPr bwMode="auto">
        <a:xfrm>
          <a:off x="523875" y="9305925"/>
          <a:ext cx="131445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en-Z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Monthly Target</a:t>
          </a:r>
        </a:p>
      </xdr:txBody>
    </xdr:sp>
    <xdr:clientData/>
  </xdr:twoCellAnchor>
  <xdr:twoCellAnchor>
    <xdr:from>
      <xdr:col>1</xdr:col>
      <xdr:colOff>276225</xdr:colOff>
      <xdr:row>79</xdr:row>
      <xdr:rowOff>66675</xdr:rowOff>
    </xdr:from>
    <xdr:to>
      <xdr:col>1</xdr:col>
      <xdr:colOff>600075</xdr:colOff>
      <xdr:row>79</xdr:row>
      <xdr:rowOff>66675</xdr:rowOff>
    </xdr:to>
    <xdr:sp macro="" textlink="">
      <xdr:nvSpPr>
        <xdr:cNvPr id="1099" name="Line 5"/>
        <xdr:cNvSpPr>
          <a:spLocks noChangeShapeType="1"/>
        </xdr:cNvSpPr>
      </xdr:nvSpPr>
      <xdr:spPr bwMode="auto">
        <a:xfrm>
          <a:off x="628650" y="9439275"/>
          <a:ext cx="32385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FF00" mc:Ignorable="a14" a14:legacySpreadsheetColorIndex="13"/>
          </a:solidFill>
          <a:round/>
          <a:headEnd type="oval" w="sm" len="sm"/>
          <a:tailEnd type="oval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419100</xdr:colOff>
      <xdr:row>47</xdr:row>
      <xdr:rowOff>180975</xdr:rowOff>
    </xdr:from>
    <xdr:to>
      <xdr:col>8</xdr:col>
      <xdr:colOff>1085850</xdr:colOff>
      <xdr:row>47</xdr:row>
      <xdr:rowOff>180975</xdr:rowOff>
    </xdr:to>
    <xdr:sp macro="" textlink="">
      <xdr:nvSpPr>
        <xdr:cNvPr id="1100" name="Line 7"/>
        <xdr:cNvSpPr>
          <a:spLocks noChangeShapeType="1"/>
        </xdr:cNvSpPr>
      </xdr:nvSpPr>
      <xdr:spPr bwMode="auto">
        <a:xfrm>
          <a:off x="771525" y="6696075"/>
          <a:ext cx="85725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FF00" mc:Ignorable="a14" a14:legacySpreadsheetColorIndex="13"/>
          </a:solidFill>
          <a:round/>
          <a:headEnd type="oval" w="sm" len="sm"/>
          <a:tailEnd type="oval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62975" cy="58102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5721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37</xdr:row>
      <xdr:rowOff>9525</xdr:rowOff>
    </xdr:from>
    <xdr:to>
      <xdr:col>9</xdr:col>
      <xdr:colOff>390525</xdr:colOff>
      <xdr:row>68</xdr:row>
      <xdr:rowOff>0</xdr:rowOff>
    </xdr:to>
    <xdr:graphicFrame macro="">
      <xdr:nvGraphicFramePr>
        <xdr:cNvPr id="92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onthly%20Sales%20-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"/>
      <sheetName val="Monthly Accounts"/>
      <sheetName val="Monthly Cash"/>
      <sheetName val="PREMAC Accounts"/>
      <sheetName val="MARCH '14"/>
      <sheetName val="APRIL '14"/>
      <sheetName val="MAY '14"/>
      <sheetName val="JUNE '14"/>
      <sheetName val="JULY '14"/>
      <sheetName val="AUGUST '14"/>
      <sheetName val="SEPTEMBER '14"/>
      <sheetName val="OCTOBER '14"/>
      <sheetName val="NOVEMBER '14"/>
      <sheetName val="DECEMBER '14"/>
      <sheetName val="JANUARY '15"/>
      <sheetName val="FEBRUARY '15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6">
          <cell r="C26">
            <v>102239.19</v>
          </cell>
          <cell r="D26">
            <v>117636.59999999999</v>
          </cell>
          <cell r="E26">
            <v>1573.2</v>
          </cell>
          <cell r="F26">
            <v>0</v>
          </cell>
          <cell r="G2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91"/>
  <sheetViews>
    <sheetView zoomScaleNormal="100" workbookViewId="0">
      <selection activeCell="K4" sqref="K4"/>
    </sheetView>
  </sheetViews>
  <sheetFormatPr defaultColWidth="8.85546875" defaultRowHeight="12.75" x14ac:dyDescent="0.2"/>
  <cols>
    <col min="1" max="1" width="5.28515625" style="5" customWidth="1"/>
    <col min="2" max="2" width="9.28515625" style="6" customWidth="1"/>
    <col min="3" max="3" width="15.7109375" style="6" customWidth="1"/>
    <col min="4" max="9" width="18.7109375" style="6" customWidth="1"/>
    <col min="10" max="10" width="15.7109375" style="6" customWidth="1"/>
    <col min="11" max="11" width="12.28515625" style="6" customWidth="1"/>
    <col min="12" max="13" width="11.85546875" style="6" bestFit="1" customWidth="1"/>
    <col min="14" max="16384" width="8.85546875" style="6"/>
  </cols>
  <sheetData>
    <row r="1" spans="1:13" ht="15" x14ac:dyDescent="0.2">
      <c r="A1" s="678" t="s">
        <v>431</v>
      </c>
      <c r="B1" s="679"/>
      <c r="C1" s="679"/>
      <c r="D1" s="679"/>
      <c r="E1" s="679"/>
      <c r="F1" s="679"/>
      <c r="G1" s="679"/>
      <c r="H1" s="679"/>
      <c r="I1" s="679"/>
    </row>
    <row r="2" spans="1:13" ht="6.95" customHeight="1" thickBot="1" x14ac:dyDescent="0.25"/>
    <row r="3" spans="1:13" ht="12.75" customHeight="1" thickBot="1" x14ac:dyDescent="0.25">
      <c r="A3" s="96"/>
      <c r="D3" s="681" t="s">
        <v>83</v>
      </c>
      <c r="E3" s="682"/>
      <c r="F3" s="681" t="s">
        <v>82</v>
      </c>
      <c r="G3" s="682"/>
      <c r="H3" s="683" t="s">
        <v>97</v>
      </c>
    </row>
    <row r="4" spans="1:13" ht="13.5" thickBot="1" x14ac:dyDescent="0.25">
      <c r="A4" s="54"/>
      <c r="B4" s="40" t="s">
        <v>36</v>
      </c>
      <c r="C4" s="12" t="s">
        <v>84</v>
      </c>
      <c r="D4" s="40" t="s">
        <v>37</v>
      </c>
      <c r="E4" s="12" t="s">
        <v>38</v>
      </c>
      <c r="F4" s="40" t="s">
        <v>85</v>
      </c>
      <c r="G4" s="12" t="s">
        <v>38</v>
      </c>
      <c r="H4" s="684"/>
      <c r="I4" s="107" t="s">
        <v>39</v>
      </c>
      <c r="J4" s="195" t="s">
        <v>88</v>
      </c>
      <c r="K4" s="235" t="s">
        <v>89</v>
      </c>
    </row>
    <row r="5" spans="1:13" ht="15" customHeight="1" x14ac:dyDescent="0.2">
      <c r="A5" s="10">
        <v>1</v>
      </c>
      <c r="B5" s="98">
        <v>2015</v>
      </c>
      <c r="C5" s="108" t="s">
        <v>1</v>
      </c>
      <c r="D5" s="104">
        <f>'MARCH ''15'!C37</f>
        <v>51368.4</v>
      </c>
      <c r="E5" s="105">
        <f>'MARCH ''15'!D37</f>
        <v>224077.80000000002</v>
      </c>
      <c r="F5" s="104">
        <f>'MARCH ''15'!E37</f>
        <v>19494</v>
      </c>
      <c r="G5" s="105">
        <f>'MARCH ''15'!F37</f>
        <v>0</v>
      </c>
      <c r="H5" s="151">
        <f>'MARCH ''15'!G37</f>
        <v>0</v>
      </c>
      <c r="I5" s="106">
        <f t="shared" ref="I5:I16" si="0">SUM(D5:H5)</f>
        <v>294940.2</v>
      </c>
      <c r="J5" s="309"/>
      <c r="K5" s="310">
        <f>J5/1.14*14%</f>
        <v>0</v>
      </c>
      <c r="L5" s="41"/>
    </row>
    <row r="6" spans="1:13" ht="15" customHeight="1" x14ac:dyDescent="0.2">
      <c r="A6" s="10">
        <v>2</v>
      </c>
      <c r="B6" s="98">
        <v>2015</v>
      </c>
      <c r="C6" s="101" t="s">
        <v>2</v>
      </c>
      <c r="D6" s="102">
        <f>'APRIL ''15'!C27</f>
        <v>35847.300000000003</v>
      </c>
      <c r="E6" s="103">
        <f>'APRIL ''15'!D27</f>
        <v>114954.4</v>
      </c>
      <c r="F6" s="102">
        <f>'APRIL ''15'!E27</f>
        <v>145920</v>
      </c>
      <c r="G6" s="103">
        <f>'APRIL ''15'!F27</f>
        <v>0</v>
      </c>
      <c r="H6" s="152">
        <f>'APRIL ''15'!G27</f>
        <v>0</v>
      </c>
      <c r="I6" s="106">
        <f t="shared" si="0"/>
        <v>296721.7</v>
      </c>
      <c r="J6" s="674">
        <f>SUM(I6:I7)</f>
        <v>506964.30000000005</v>
      </c>
      <c r="K6" s="677">
        <f>J6/1.14*14%</f>
        <v>62258.773684210544</v>
      </c>
      <c r="L6" s="41"/>
      <c r="M6" s="42"/>
    </row>
    <row r="7" spans="1:13" ht="15" customHeight="1" x14ac:dyDescent="0.2">
      <c r="A7" s="10">
        <v>3</v>
      </c>
      <c r="B7" s="98">
        <v>2015</v>
      </c>
      <c r="C7" s="101" t="s">
        <v>5</v>
      </c>
      <c r="D7" s="565">
        <f>'MAY ''15'!C26</f>
        <v>5871</v>
      </c>
      <c r="E7" s="103">
        <f>'MAY ''15'!D27</f>
        <v>194966.6</v>
      </c>
      <c r="F7" s="102">
        <f>'MAY ''15'!E27</f>
        <v>9405</v>
      </c>
      <c r="G7" s="103">
        <f>'MAY ''15'!F27</f>
        <v>0</v>
      </c>
      <c r="H7" s="152">
        <f>'MAY ''15'!G27</f>
        <v>0</v>
      </c>
      <c r="I7" s="106">
        <f t="shared" si="0"/>
        <v>210242.6</v>
      </c>
      <c r="J7" s="676"/>
      <c r="K7" s="677"/>
      <c r="L7" s="41"/>
      <c r="M7" s="48"/>
    </row>
    <row r="8" spans="1:13" ht="15" customHeight="1" x14ac:dyDescent="0.2">
      <c r="A8" s="10">
        <v>4</v>
      </c>
      <c r="B8" s="98">
        <v>2015</v>
      </c>
      <c r="C8" s="101" t="s">
        <v>3</v>
      </c>
      <c r="D8" s="102">
        <f>'JUNE ''15'!C26</f>
        <v>33664.199999999997</v>
      </c>
      <c r="E8" s="103">
        <f>'JUNE ''15'!D26</f>
        <v>147318.6</v>
      </c>
      <c r="F8" s="102">
        <f>'JUNE ''15'!E26</f>
        <v>0</v>
      </c>
      <c r="G8" s="103">
        <f>'JUNE ''15'!F26</f>
        <v>0</v>
      </c>
      <c r="H8" s="152">
        <f>'JUNE ''15'!G26</f>
        <v>0</v>
      </c>
      <c r="I8" s="106">
        <f t="shared" si="0"/>
        <v>180982.8</v>
      </c>
      <c r="J8" s="674">
        <f>SUM(I8:I9)</f>
        <v>533664.69999999995</v>
      </c>
      <c r="K8" s="677">
        <f>J8/1.14*14%</f>
        <v>65537.770175438607</v>
      </c>
      <c r="L8" s="41"/>
      <c r="M8" s="238"/>
    </row>
    <row r="9" spans="1:13" ht="15" customHeight="1" x14ac:dyDescent="0.2">
      <c r="A9" s="10">
        <v>5</v>
      </c>
      <c r="B9" s="98">
        <v>2015</v>
      </c>
      <c r="C9" s="101" t="s">
        <v>4</v>
      </c>
      <c r="D9" s="102">
        <f>'JULY ''15'!C43</f>
        <v>40766.400000000001</v>
      </c>
      <c r="E9" s="103">
        <f>'JULY ''15'!D43</f>
        <v>203444.5</v>
      </c>
      <c r="F9" s="102">
        <f>'JULY ''15'!E43</f>
        <v>99351</v>
      </c>
      <c r="G9" s="103">
        <f>'JULY ''15'!F43</f>
        <v>0</v>
      </c>
      <c r="H9" s="152">
        <f>'JULY ''15'!G43</f>
        <v>9120</v>
      </c>
      <c r="I9" s="106">
        <f t="shared" si="0"/>
        <v>352681.9</v>
      </c>
      <c r="J9" s="675"/>
      <c r="K9" s="677"/>
      <c r="L9" s="41"/>
    </row>
    <row r="10" spans="1:13" ht="15" customHeight="1" x14ac:dyDescent="0.2">
      <c r="A10" s="10">
        <v>6</v>
      </c>
      <c r="B10" s="98">
        <v>2015</v>
      </c>
      <c r="C10" s="101" t="s">
        <v>20</v>
      </c>
      <c r="D10" s="102">
        <f>'AUGUST ''15'!C41</f>
        <v>77531.39999999998</v>
      </c>
      <c r="E10" s="103">
        <f>'AUGUST ''15'!D41</f>
        <v>107479.2</v>
      </c>
      <c r="F10" s="102">
        <f>'AUGUST ''15'!E41</f>
        <v>233734.2</v>
      </c>
      <c r="G10" s="103">
        <f>'AUGUST ''15'!F41</f>
        <v>0</v>
      </c>
      <c r="H10" s="152">
        <f>'AUGUST ''15'!G41</f>
        <v>0</v>
      </c>
      <c r="I10" s="106">
        <f t="shared" si="0"/>
        <v>418744.8</v>
      </c>
      <c r="J10" s="674">
        <f>SUM(I10:I11)</f>
        <v>993514.3</v>
      </c>
      <c r="K10" s="677">
        <f>J10/1.14*14%</f>
        <v>122010.52807017547</v>
      </c>
      <c r="L10" s="41"/>
      <c r="M10" s="236"/>
    </row>
    <row r="11" spans="1:13" ht="15" customHeight="1" x14ac:dyDescent="0.2">
      <c r="A11" s="10">
        <v>7</v>
      </c>
      <c r="B11" s="98">
        <v>2015</v>
      </c>
      <c r="C11" s="101" t="s">
        <v>21</v>
      </c>
      <c r="D11" s="102">
        <f>'SEPTEMBER ''15'!C48</f>
        <v>40441.900000000009</v>
      </c>
      <c r="E11" s="103">
        <f>'SEPTEMBER ''15'!D48</f>
        <v>158127.59999999998</v>
      </c>
      <c r="F11" s="102">
        <f>'SEPTEMBER ''15'!E48</f>
        <v>345534</v>
      </c>
      <c r="G11" s="103">
        <f>'SEPTEMBER ''15'!F48</f>
        <v>29754</v>
      </c>
      <c r="H11" s="152">
        <f>'SEPTEMBER ''15'!G48</f>
        <v>912</v>
      </c>
      <c r="I11" s="106">
        <f t="shared" si="0"/>
        <v>574769.5</v>
      </c>
      <c r="J11" s="675"/>
      <c r="K11" s="677"/>
      <c r="L11" s="41"/>
      <c r="M11" s="237"/>
    </row>
    <row r="12" spans="1:13" ht="15" customHeight="1" x14ac:dyDescent="0.2">
      <c r="A12" s="10">
        <v>8</v>
      </c>
      <c r="B12" s="98">
        <v>2015</v>
      </c>
      <c r="C12" s="101" t="s">
        <v>22</v>
      </c>
      <c r="D12" s="102">
        <f>'OCTOBER ''15'!C70</f>
        <v>88982.7</v>
      </c>
      <c r="E12" s="103">
        <f>'OCTOBER ''15'!D70</f>
        <v>91950.12</v>
      </c>
      <c r="F12" s="102">
        <f>'OCTOBER ''15'!E70</f>
        <v>489190.42</v>
      </c>
      <c r="G12" s="103">
        <f>'OCTOBER ''15'!F70</f>
        <v>46455</v>
      </c>
      <c r="H12" s="152">
        <f>'OCTOBER ''15'!G70</f>
        <v>912</v>
      </c>
      <c r="I12" s="106">
        <f t="shared" si="0"/>
        <v>717490.24</v>
      </c>
      <c r="J12" s="674">
        <f>SUM(I12:I13)</f>
        <v>965770.64</v>
      </c>
      <c r="K12" s="677">
        <f>J12/1.14*14%</f>
        <v>118603.41192982458</v>
      </c>
      <c r="L12" s="41"/>
    </row>
    <row r="13" spans="1:13" ht="15" customHeight="1" x14ac:dyDescent="0.2">
      <c r="A13" s="10">
        <v>9</v>
      </c>
      <c r="B13" s="98">
        <v>2015</v>
      </c>
      <c r="C13" s="101" t="s">
        <v>23</v>
      </c>
      <c r="D13" s="102">
        <f>'NOVEMBER ''15'!C48</f>
        <v>42784.200000000004</v>
      </c>
      <c r="E13" s="103">
        <f>'NOVEMBER ''15'!D48</f>
        <v>140071.6</v>
      </c>
      <c r="F13" s="102">
        <f>'NOVEMBER ''15'!E48</f>
        <v>49008.6</v>
      </c>
      <c r="G13" s="103">
        <f>'NOVEMBER ''15'!F48</f>
        <v>15504</v>
      </c>
      <c r="H13" s="152">
        <f>'NOVEMBER ''15'!G48</f>
        <v>912</v>
      </c>
      <c r="I13" s="106">
        <f t="shared" si="0"/>
        <v>248280.40000000002</v>
      </c>
      <c r="J13" s="675"/>
      <c r="K13" s="677"/>
      <c r="L13" s="41"/>
    </row>
    <row r="14" spans="1:13" ht="15" customHeight="1" x14ac:dyDescent="0.2">
      <c r="A14" s="10">
        <v>10</v>
      </c>
      <c r="B14" s="98">
        <v>2015</v>
      </c>
      <c r="C14" s="101" t="s">
        <v>24</v>
      </c>
      <c r="D14" s="102">
        <f>'DECEMBER ''15'!C34</f>
        <v>26151.599999999999</v>
      </c>
      <c r="E14" s="103">
        <f>'DECEMBER ''15'!D34</f>
        <v>50821.2</v>
      </c>
      <c r="F14" s="102">
        <f>'DECEMBER ''15'!E34</f>
        <v>325755</v>
      </c>
      <c r="G14" s="103">
        <f>'DECEMBER ''15'!F34</f>
        <v>55689</v>
      </c>
      <c r="H14" s="152">
        <f>'DECEMBER ''15'!G34</f>
        <v>912</v>
      </c>
      <c r="I14" s="106">
        <f t="shared" si="0"/>
        <v>459328.8</v>
      </c>
      <c r="J14" s="674">
        <f>SUM(I14:I15)</f>
        <v>506131.5</v>
      </c>
      <c r="K14" s="677">
        <f>J14/1.14*14%</f>
        <v>62156.500000000015</v>
      </c>
      <c r="L14" s="41"/>
    </row>
    <row r="15" spans="1:13" ht="15" customHeight="1" x14ac:dyDescent="0.2">
      <c r="A15" s="10">
        <v>11</v>
      </c>
      <c r="B15" s="10">
        <v>2016</v>
      </c>
      <c r="C15" s="101" t="s">
        <v>25</v>
      </c>
      <c r="D15" s="102">
        <f>'JANUARY ''16'!C21</f>
        <v>5768.4</v>
      </c>
      <c r="E15" s="103">
        <f>'JANUARY ''16'!D21</f>
        <v>39324.300000000003</v>
      </c>
      <c r="F15" s="102">
        <f>'JANUARY ''16'!E21</f>
        <v>798</v>
      </c>
      <c r="G15" s="103">
        <f xml:space="preserve"> 'JANUARY ''16'!F21</f>
        <v>0</v>
      </c>
      <c r="H15" s="152">
        <f>'JANUARY ''16'!G21</f>
        <v>912</v>
      </c>
      <c r="I15" s="106">
        <f t="shared" si="0"/>
        <v>46802.700000000004</v>
      </c>
      <c r="J15" s="675"/>
      <c r="K15" s="677"/>
      <c r="L15" s="41"/>
    </row>
    <row r="16" spans="1:13" ht="15" customHeight="1" thickBot="1" x14ac:dyDescent="0.25">
      <c r="A16" s="10">
        <v>12</v>
      </c>
      <c r="B16" s="10">
        <v>2016</v>
      </c>
      <c r="C16" s="101" t="s">
        <v>26</v>
      </c>
      <c r="D16" s="111">
        <f>'FEBRUARY ''16'!C30</f>
        <v>3442.8</v>
      </c>
      <c r="E16" s="112">
        <f>'FEBRUARY ''16'!D30</f>
        <v>110431.8</v>
      </c>
      <c r="F16" s="111">
        <f>'FEBRUARY ''16'!E30</f>
        <v>4104</v>
      </c>
      <c r="G16" s="112">
        <f>'FEBRUARY ''16'!F30</f>
        <v>0</v>
      </c>
      <c r="H16" s="455">
        <f>'FEBRUARY ''16'!G30</f>
        <v>0</v>
      </c>
      <c r="I16" s="106">
        <f t="shared" si="0"/>
        <v>117978.6</v>
      </c>
      <c r="L16" s="41"/>
    </row>
    <row r="17" spans="1:12" ht="15" customHeight="1" thickTop="1" thickBot="1" x14ac:dyDescent="0.25">
      <c r="B17" s="680"/>
      <c r="C17" s="680"/>
      <c r="D17" s="109">
        <f t="shared" ref="D17:I17" si="1">SUM(D5:D16)</f>
        <v>452620.30000000005</v>
      </c>
      <c r="E17" s="110">
        <f t="shared" si="1"/>
        <v>1582967.72</v>
      </c>
      <c r="F17" s="109">
        <f t="shared" si="1"/>
        <v>1722294.22</v>
      </c>
      <c r="G17" s="110">
        <f t="shared" si="1"/>
        <v>147402</v>
      </c>
      <c r="H17" s="110">
        <f t="shared" si="1"/>
        <v>13680</v>
      </c>
      <c r="I17" s="150">
        <f t="shared" si="1"/>
        <v>3918964.24</v>
      </c>
      <c r="J17" s="43"/>
      <c r="L17" s="41"/>
    </row>
    <row r="18" spans="1:12" ht="15" customHeight="1" thickBot="1" x14ac:dyDescent="0.25">
      <c r="A18" s="96"/>
      <c r="B18" s="11"/>
      <c r="C18" s="11"/>
      <c r="D18" s="672">
        <f>SUM(D17:E17)</f>
        <v>2035588.02</v>
      </c>
      <c r="E18" s="673"/>
      <c r="F18" s="672">
        <f>SUM(F17:G17)</f>
        <v>1869696.22</v>
      </c>
      <c r="G18" s="673"/>
      <c r="H18" s="153">
        <f>H17</f>
        <v>13680</v>
      </c>
      <c r="I18" s="45"/>
      <c r="J18" s="165">
        <f>SUM(D18:H18)</f>
        <v>3918964.24</v>
      </c>
      <c r="L18" s="41"/>
    </row>
    <row r="19" spans="1:12" ht="15" customHeight="1" x14ac:dyDescent="0.2">
      <c r="A19" s="96"/>
      <c r="B19" s="642"/>
      <c r="C19" s="642"/>
      <c r="D19" s="643"/>
      <c r="E19" s="643"/>
      <c r="F19" s="643"/>
      <c r="G19" s="643"/>
      <c r="H19" s="643"/>
      <c r="I19" s="45"/>
      <c r="J19" s="97">
        <f>AVERAGE(I5:I10)</f>
        <v>292385.66666666669</v>
      </c>
      <c r="L19" s="41"/>
    </row>
    <row r="20" spans="1:12" ht="15" customHeight="1" x14ac:dyDescent="0.2">
      <c r="A20" s="96"/>
      <c r="B20" s="642"/>
      <c r="C20" s="642"/>
      <c r="D20" s="643"/>
      <c r="E20" s="643"/>
      <c r="F20" s="643"/>
      <c r="G20" s="643"/>
      <c r="H20" s="643"/>
      <c r="I20" s="45"/>
      <c r="J20" s="97"/>
      <c r="L20" s="41"/>
    </row>
    <row r="21" spans="1:12" ht="15" customHeight="1" thickBot="1" x14ac:dyDescent="0.25">
      <c r="A21" s="96"/>
      <c r="B21" s="642"/>
      <c r="C21" s="642"/>
      <c r="D21" s="644" t="s">
        <v>723</v>
      </c>
      <c r="E21" s="644" t="s">
        <v>724</v>
      </c>
      <c r="F21" s="644" t="s">
        <v>725</v>
      </c>
      <c r="G21" s="644" t="s">
        <v>725</v>
      </c>
      <c r="H21" s="643"/>
      <c r="I21" s="45"/>
      <c r="J21" s="97"/>
      <c r="L21" s="41"/>
    </row>
    <row r="22" spans="1:12" ht="15" customHeight="1" x14ac:dyDescent="0.2">
      <c r="A22" s="649">
        <v>5</v>
      </c>
      <c r="B22" s="650">
        <v>2015</v>
      </c>
      <c r="C22" s="651" t="s">
        <v>4</v>
      </c>
      <c r="D22" s="645">
        <v>99351</v>
      </c>
      <c r="E22" s="646">
        <f>'JULY ''15'!F54</f>
        <v>0</v>
      </c>
      <c r="F22" s="658">
        <f>D22-(D22*0.3)</f>
        <v>69545.7</v>
      </c>
      <c r="G22" s="661">
        <f>E22-(E22*0.3)</f>
        <v>0</v>
      </c>
      <c r="H22" s="97"/>
      <c r="J22" s="41"/>
    </row>
    <row r="23" spans="1:12" ht="15" customHeight="1" x14ac:dyDescent="0.2">
      <c r="A23" s="652">
        <v>6</v>
      </c>
      <c r="B23" s="98">
        <v>2015</v>
      </c>
      <c r="C23" s="653" t="s">
        <v>20</v>
      </c>
      <c r="D23" s="102">
        <v>265711.2</v>
      </c>
      <c r="E23" s="103">
        <f>'AUGUST ''15'!F52</f>
        <v>0</v>
      </c>
      <c r="F23" s="657">
        <f t="shared" ref="F23:F28" si="2">D23-(D23*0.3)</f>
        <v>185997.84000000003</v>
      </c>
      <c r="G23" s="662">
        <f>E23-(E23*0.3)</f>
        <v>0</v>
      </c>
      <c r="H23" s="97"/>
      <c r="J23" s="41"/>
    </row>
    <row r="24" spans="1:12" ht="15" customHeight="1" x14ac:dyDescent="0.2">
      <c r="A24" s="652">
        <v>7</v>
      </c>
      <c r="B24" s="98">
        <v>2015</v>
      </c>
      <c r="C24" s="653" t="s">
        <v>21</v>
      </c>
      <c r="D24" s="102">
        <v>345534</v>
      </c>
      <c r="E24" s="103">
        <v>29754</v>
      </c>
      <c r="F24" s="659">
        <f t="shared" si="2"/>
        <v>241873.8</v>
      </c>
      <c r="G24" s="662">
        <f t="shared" ref="G24:G28" si="3">E24-(E24*0.3)</f>
        <v>20827.800000000003</v>
      </c>
      <c r="H24" s="97"/>
      <c r="J24" s="41"/>
    </row>
    <row r="25" spans="1:12" ht="15" customHeight="1" x14ac:dyDescent="0.2">
      <c r="A25" s="652">
        <v>8</v>
      </c>
      <c r="B25" s="98">
        <v>2015</v>
      </c>
      <c r="C25" s="653" t="s">
        <v>22</v>
      </c>
      <c r="D25" s="102">
        <v>489190.42</v>
      </c>
      <c r="E25" s="103">
        <v>46455</v>
      </c>
      <c r="F25" s="657">
        <f t="shared" si="2"/>
        <v>342433.29399999999</v>
      </c>
      <c r="G25" s="662">
        <f t="shared" si="3"/>
        <v>32518.5</v>
      </c>
      <c r="H25" s="97"/>
      <c r="J25" s="41"/>
    </row>
    <row r="26" spans="1:12" ht="15" customHeight="1" x14ac:dyDescent="0.2">
      <c r="A26" s="652">
        <v>9</v>
      </c>
      <c r="B26" s="98">
        <v>2015</v>
      </c>
      <c r="C26" s="653" t="s">
        <v>23</v>
      </c>
      <c r="D26" s="102">
        <v>49008.6</v>
      </c>
      <c r="E26" s="103">
        <v>15504</v>
      </c>
      <c r="F26" s="659">
        <f t="shared" si="2"/>
        <v>34306.019999999997</v>
      </c>
      <c r="G26" s="662">
        <f t="shared" si="3"/>
        <v>10852.8</v>
      </c>
      <c r="J26" s="41"/>
    </row>
    <row r="27" spans="1:12" ht="15" customHeight="1" x14ac:dyDescent="0.2">
      <c r="A27" s="652">
        <v>10</v>
      </c>
      <c r="B27" s="98">
        <v>2015</v>
      </c>
      <c r="C27" s="653" t="s">
        <v>24</v>
      </c>
      <c r="D27" s="102">
        <v>325755</v>
      </c>
      <c r="E27" s="103">
        <v>55689</v>
      </c>
      <c r="F27" s="657">
        <f t="shared" si="2"/>
        <v>228028.5</v>
      </c>
      <c r="G27" s="662">
        <f t="shared" si="3"/>
        <v>38982.300000000003</v>
      </c>
      <c r="J27" s="41"/>
    </row>
    <row r="28" spans="1:12" ht="15" customHeight="1" thickBot="1" x14ac:dyDescent="0.25">
      <c r="A28" s="654">
        <v>11</v>
      </c>
      <c r="B28" s="655">
        <v>2016</v>
      </c>
      <c r="C28" s="656" t="s">
        <v>25</v>
      </c>
      <c r="D28" s="647">
        <v>798</v>
      </c>
      <c r="E28" s="648">
        <v>27360</v>
      </c>
      <c r="F28" s="660">
        <f t="shared" si="2"/>
        <v>558.6</v>
      </c>
      <c r="G28" s="663">
        <f t="shared" si="3"/>
        <v>19152</v>
      </c>
      <c r="J28" s="41"/>
    </row>
    <row r="29" spans="1:12" ht="15" customHeight="1" x14ac:dyDescent="0.2">
      <c r="A29" s="96"/>
      <c r="B29" s="642"/>
      <c r="C29" s="642"/>
      <c r="D29" s="643">
        <f>SUM(D22:D28)</f>
        <v>1575348.22</v>
      </c>
      <c r="E29" s="643">
        <f>SUM(E22:E28)</f>
        <v>174762</v>
      </c>
      <c r="F29" s="643">
        <f>SUM(F22:F28)</f>
        <v>1102743.7540000002</v>
      </c>
      <c r="G29" s="643">
        <f>SUM(G22:G28)</f>
        <v>122333.40000000001</v>
      </c>
      <c r="H29" s="44"/>
      <c r="I29" s="45"/>
      <c r="L29" s="41"/>
    </row>
    <row r="30" spans="1:12" ht="15" customHeight="1" x14ac:dyDescent="0.2">
      <c r="A30" s="96"/>
      <c r="B30" s="642"/>
      <c r="C30" s="642"/>
      <c r="D30" s="643"/>
      <c r="E30" s="643"/>
      <c r="F30" s="643"/>
      <c r="G30" s="643"/>
      <c r="H30" s="44"/>
      <c r="I30" s="45"/>
      <c r="L30" s="41"/>
    </row>
    <row r="31" spans="1:12" ht="15" customHeight="1" x14ac:dyDescent="0.2">
      <c r="A31" s="96"/>
      <c r="B31" s="642"/>
      <c r="C31" s="642"/>
      <c r="D31" s="643"/>
      <c r="E31" s="643"/>
      <c r="F31" s="643"/>
      <c r="G31" s="643"/>
      <c r="H31" s="44"/>
      <c r="I31" s="45"/>
      <c r="L31" s="41"/>
    </row>
    <row r="32" spans="1:12" ht="15" customHeight="1" x14ac:dyDescent="0.2">
      <c r="A32" s="96"/>
      <c r="B32" s="642"/>
      <c r="C32" s="642"/>
      <c r="D32" s="643"/>
      <c r="E32" s="643"/>
      <c r="F32" s="643"/>
      <c r="G32" s="643"/>
    </row>
    <row r="33" spans="1:12" ht="15" customHeight="1" x14ac:dyDescent="0.2">
      <c r="A33" s="96"/>
      <c r="B33" s="642"/>
      <c r="C33" s="642"/>
      <c r="D33" s="643"/>
      <c r="E33" s="643"/>
      <c r="F33" s="643"/>
      <c r="G33" s="643"/>
    </row>
    <row r="34" spans="1:12" ht="15" customHeight="1" x14ac:dyDescent="0.2">
      <c r="A34" s="96"/>
      <c r="B34" s="11"/>
      <c r="C34" s="11"/>
      <c r="D34" s="44"/>
      <c r="E34" s="44"/>
      <c r="F34" s="44"/>
      <c r="G34" s="44"/>
    </row>
    <row r="35" spans="1:12" ht="15" customHeight="1" x14ac:dyDescent="0.2">
      <c r="A35" s="96"/>
      <c r="B35" s="642"/>
      <c r="C35" s="642"/>
      <c r="D35" s="44"/>
      <c r="E35" s="44"/>
      <c r="F35" s="44"/>
      <c r="G35" s="44"/>
    </row>
    <row r="36" spans="1:12" ht="15" customHeight="1" x14ac:dyDescent="0.2">
      <c r="A36" s="96"/>
      <c r="B36" s="642"/>
      <c r="C36" s="642"/>
      <c r="D36" s="44"/>
      <c r="E36" s="44"/>
      <c r="F36" s="44"/>
      <c r="G36" s="44"/>
    </row>
    <row r="37" spans="1:12" ht="15" customHeight="1" x14ac:dyDescent="0.2">
      <c r="A37" s="96"/>
      <c r="B37" s="642"/>
      <c r="C37" s="642"/>
      <c r="D37" s="44"/>
      <c r="E37" s="44"/>
      <c r="F37" s="44"/>
      <c r="G37" s="44"/>
    </row>
    <row r="38" spans="1:12" ht="15" customHeight="1" x14ac:dyDescent="0.2">
      <c r="A38" s="96"/>
      <c r="B38" s="642"/>
      <c r="C38" s="642"/>
      <c r="D38" s="44"/>
      <c r="E38" s="44"/>
      <c r="F38" s="44"/>
      <c r="G38" s="44"/>
    </row>
    <row r="39" spans="1:12" ht="15" customHeight="1" x14ac:dyDescent="0.2">
      <c r="L39" s="6" t="s">
        <v>41</v>
      </c>
    </row>
    <row r="40" spans="1:12" ht="15" customHeight="1" x14ac:dyDescent="0.2"/>
    <row r="41" spans="1:12" ht="15" customHeight="1" x14ac:dyDescent="0.2"/>
    <row r="42" spans="1:12" ht="15" customHeight="1" x14ac:dyDescent="0.2"/>
    <row r="43" spans="1:12" ht="15" customHeight="1" x14ac:dyDescent="0.2">
      <c r="A43" s="96"/>
    </row>
    <row r="44" spans="1:12" ht="15" customHeight="1" x14ac:dyDescent="0.2">
      <c r="A44" s="96"/>
    </row>
    <row r="45" spans="1:12" ht="15" customHeight="1" x14ac:dyDescent="0.2"/>
    <row r="46" spans="1:12" ht="15" customHeight="1" x14ac:dyDescent="0.2"/>
    <row r="47" spans="1:12" ht="15" customHeight="1" x14ac:dyDescent="0.2"/>
    <row r="48" spans="1:12" ht="15" customHeight="1" x14ac:dyDescent="0.2"/>
    <row r="49" spans="1:1" ht="15" customHeight="1" x14ac:dyDescent="0.2"/>
    <row r="50" spans="1:1" ht="15" customHeight="1" x14ac:dyDescent="0.2"/>
    <row r="51" spans="1:1" ht="15" customHeight="1" x14ac:dyDescent="0.2"/>
    <row r="52" spans="1:1" ht="15" customHeight="1" x14ac:dyDescent="0.2"/>
    <row r="53" spans="1:1" ht="15" customHeight="1" x14ac:dyDescent="0.2"/>
    <row r="54" spans="1:1" ht="15" customHeight="1" x14ac:dyDescent="0.2">
      <c r="A54" s="96"/>
    </row>
    <row r="55" spans="1:1" ht="15" customHeight="1" x14ac:dyDescent="0.2">
      <c r="A55" s="96"/>
    </row>
    <row r="56" spans="1:1" ht="15" customHeight="1" x14ac:dyDescent="0.2">
      <c r="A56" s="96"/>
    </row>
    <row r="57" spans="1:1" ht="15" customHeight="1" x14ac:dyDescent="0.2">
      <c r="A57" s="96"/>
    </row>
    <row r="58" spans="1:1" ht="15" customHeight="1" x14ac:dyDescent="0.2">
      <c r="A58" s="96"/>
    </row>
    <row r="59" spans="1:1" ht="15" customHeight="1" x14ac:dyDescent="0.2">
      <c r="A59" s="96"/>
    </row>
    <row r="60" spans="1:1" ht="15" customHeight="1" x14ac:dyDescent="0.2">
      <c r="A60" s="96"/>
    </row>
    <row r="61" spans="1:1" ht="15" customHeight="1" x14ac:dyDescent="0.2">
      <c r="A61" s="96"/>
    </row>
    <row r="62" spans="1:1" ht="15" customHeight="1" x14ac:dyDescent="0.2">
      <c r="A62" s="96"/>
    </row>
    <row r="63" spans="1:1" ht="15" customHeight="1" x14ac:dyDescent="0.2">
      <c r="A63" s="96"/>
    </row>
    <row r="64" spans="1:1" ht="15" customHeight="1" x14ac:dyDescent="0.2">
      <c r="A64" s="96"/>
    </row>
    <row r="65" spans="1:1" ht="15" customHeight="1" x14ac:dyDescent="0.2">
      <c r="A65" s="96"/>
    </row>
    <row r="66" spans="1:1" ht="15" customHeight="1" x14ac:dyDescent="0.2"/>
    <row r="67" spans="1:1" ht="15" customHeight="1" x14ac:dyDescent="0.2"/>
    <row r="68" spans="1:1" ht="15" customHeight="1" x14ac:dyDescent="0.2"/>
    <row r="69" spans="1:1" ht="15" customHeight="1" x14ac:dyDescent="0.2"/>
    <row r="70" spans="1:1" ht="15" customHeight="1" x14ac:dyDescent="0.2"/>
    <row r="71" spans="1:1" ht="15" customHeight="1" x14ac:dyDescent="0.2"/>
    <row r="72" spans="1:1" ht="15" customHeight="1" x14ac:dyDescent="0.2"/>
    <row r="73" spans="1:1" ht="15" customHeight="1" x14ac:dyDescent="0.2"/>
    <row r="74" spans="1:1" ht="15" customHeight="1" x14ac:dyDescent="0.2"/>
    <row r="81" spans="1:9" x14ac:dyDescent="0.2">
      <c r="H81" s="56"/>
      <c r="I81" s="56"/>
    </row>
    <row r="82" spans="1:9" x14ac:dyDescent="0.2">
      <c r="A82" s="52" t="s">
        <v>50</v>
      </c>
      <c r="H82" s="95"/>
      <c r="I82" s="56"/>
    </row>
    <row r="83" spans="1:9" x14ac:dyDescent="0.2">
      <c r="B83" s="53" t="s">
        <v>51</v>
      </c>
      <c r="D83" s="48"/>
      <c r="E83" s="48"/>
      <c r="F83" s="48"/>
      <c r="H83" s="95"/>
      <c r="I83" s="56"/>
    </row>
    <row r="84" spans="1:9" ht="6.95" customHeight="1" thickBot="1" x14ac:dyDescent="0.25">
      <c r="B84" s="53" t="s">
        <v>60</v>
      </c>
      <c r="D84" s="57"/>
      <c r="E84" s="57"/>
      <c r="F84" s="57"/>
      <c r="H84" s="59"/>
      <c r="I84" s="59"/>
    </row>
    <row r="85" spans="1:9" x14ac:dyDescent="0.2">
      <c r="B85" s="53" t="s">
        <v>53</v>
      </c>
      <c r="D85" s="48"/>
      <c r="E85" s="48"/>
      <c r="F85" s="48"/>
    </row>
    <row r="86" spans="1:9" x14ac:dyDescent="0.2">
      <c r="B86" s="53" t="s">
        <v>54</v>
      </c>
      <c r="D86" s="57"/>
      <c r="E86" s="57"/>
      <c r="F86" s="57"/>
    </row>
    <row r="87" spans="1:9" x14ac:dyDescent="0.2">
      <c r="B87" s="53" t="s">
        <v>52</v>
      </c>
      <c r="D87" s="48"/>
      <c r="E87" s="48"/>
      <c r="F87" s="48"/>
    </row>
    <row r="88" spans="1:9" x14ac:dyDescent="0.2">
      <c r="A88" s="54"/>
      <c r="B88" s="55" t="s">
        <v>55</v>
      </c>
      <c r="C88" s="56"/>
      <c r="D88" s="48"/>
      <c r="E88" s="48"/>
      <c r="F88" s="48"/>
      <c r="G88" s="56"/>
    </row>
    <row r="89" spans="1:9" x14ac:dyDescent="0.2">
      <c r="A89" s="54"/>
      <c r="B89" s="55" t="s">
        <v>56</v>
      </c>
      <c r="C89" s="56"/>
      <c r="D89" s="48"/>
      <c r="E89" s="48"/>
      <c r="F89" s="48"/>
      <c r="G89" s="95"/>
    </row>
    <row r="90" spans="1:9" x14ac:dyDescent="0.2">
      <c r="A90" s="54"/>
      <c r="B90" s="55" t="s">
        <v>63</v>
      </c>
      <c r="C90" s="56"/>
      <c r="D90" s="48"/>
      <c r="E90" s="48"/>
      <c r="F90" s="48"/>
      <c r="G90" s="95"/>
    </row>
    <row r="91" spans="1:9" ht="13.5" thickBot="1" x14ac:dyDescent="0.25">
      <c r="A91" s="39"/>
      <c r="B91" s="58"/>
      <c r="C91" s="59"/>
      <c r="D91" s="59"/>
      <c r="E91" s="59"/>
      <c r="F91" s="59"/>
      <c r="G91" s="59"/>
    </row>
  </sheetData>
  <mergeCells count="17">
    <mergeCell ref="K6:K7"/>
    <mergeCell ref="K8:K9"/>
    <mergeCell ref="K10:K11"/>
    <mergeCell ref="A1:I1"/>
    <mergeCell ref="B17:C17"/>
    <mergeCell ref="D3:E3"/>
    <mergeCell ref="F3:G3"/>
    <mergeCell ref="H3:H4"/>
    <mergeCell ref="K12:K13"/>
    <mergeCell ref="J14:J15"/>
    <mergeCell ref="K14:K15"/>
    <mergeCell ref="D18:E18"/>
    <mergeCell ref="F18:G18"/>
    <mergeCell ref="J10:J11"/>
    <mergeCell ref="J8:J9"/>
    <mergeCell ref="J6:J7"/>
    <mergeCell ref="J12:J13"/>
  </mergeCells>
  <phoneticPr fontId="0" type="noConversion"/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horizontalDpi="300" verticalDpi="300" r:id="rId1"/>
  <headerFooter scaleWithDoc="0"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R96"/>
  <sheetViews>
    <sheetView tabSelected="1" zoomScaleNormal="100" workbookViewId="0">
      <pane ySplit="4" topLeftCell="A26" activePane="bottomLeft" state="frozenSplit"/>
      <selection pane="bottomLeft" activeCell="I35" sqref="I35"/>
    </sheetView>
  </sheetViews>
  <sheetFormatPr defaultRowHeight="12.75" x14ac:dyDescent="0.2"/>
  <cols>
    <col min="1" max="1" width="2.42578125" style="233" customWidth="1"/>
    <col min="2" max="2" width="6.42578125" style="143" customWidth="1"/>
    <col min="3" max="4" width="10.7109375" style="1" customWidth="1"/>
    <col min="5" max="6" width="11.28515625" style="1" customWidth="1"/>
    <col min="7" max="7" width="10.85546875" style="1" customWidth="1"/>
    <col min="8" max="8" width="12" customWidth="1"/>
    <col min="9" max="9" width="10.7109375" customWidth="1"/>
    <col min="10" max="11" width="10" customWidth="1"/>
    <col min="12" max="13" width="10.7109375" customWidth="1"/>
    <col min="14" max="14" width="10.7109375" style="161" customWidth="1"/>
    <col min="15" max="16" width="13.85546875" customWidth="1"/>
    <col min="17" max="17" width="13.28515625" customWidth="1"/>
    <col min="18" max="18" width="13.7109375" customWidth="1"/>
    <col min="19" max="19" width="13.140625" customWidth="1"/>
  </cols>
  <sheetData>
    <row r="1" spans="1:16" ht="15" x14ac:dyDescent="0.25">
      <c r="A1" s="100" t="s">
        <v>102</v>
      </c>
      <c r="C1" s="3"/>
    </row>
    <row r="2" spans="1:16" ht="9.75" customHeight="1" thickBot="1" x14ac:dyDescent="0.25">
      <c r="A2" s="2"/>
      <c r="C2" s="209"/>
      <c r="D2" s="210"/>
      <c r="E2" s="210"/>
      <c r="F2" s="210"/>
      <c r="G2" s="716" t="s">
        <v>476</v>
      </c>
      <c r="H2" s="212"/>
    </row>
    <row r="3" spans="1:16" ht="17.25" customHeight="1" x14ac:dyDescent="0.2">
      <c r="A3" s="2"/>
      <c r="C3" s="718" t="s">
        <v>83</v>
      </c>
      <c r="D3" s="719"/>
      <c r="E3" s="718" t="s">
        <v>82</v>
      </c>
      <c r="F3" s="719"/>
      <c r="G3" s="716"/>
      <c r="H3" s="212"/>
    </row>
    <row r="4" spans="1:16" ht="13.5" thickBot="1" x14ac:dyDescent="0.25">
      <c r="A4" s="141" t="s">
        <v>6</v>
      </c>
      <c r="B4" s="172" t="s">
        <v>18</v>
      </c>
      <c r="C4" s="113" t="s">
        <v>7</v>
      </c>
      <c r="D4" s="211" t="s">
        <v>8</v>
      </c>
      <c r="E4" s="113" t="s">
        <v>86</v>
      </c>
      <c r="F4" s="114" t="s">
        <v>8</v>
      </c>
      <c r="G4" s="717"/>
      <c r="H4" s="232" t="s">
        <v>0</v>
      </c>
      <c r="I4" s="768" t="s">
        <v>19</v>
      </c>
      <c r="J4" s="768"/>
      <c r="K4" s="768"/>
    </row>
    <row r="5" spans="1:16" x14ac:dyDescent="0.2">
      <c r="A5" s="763" t="s">
        <v>184</v>
      </c>
      <c r="B5" s="144" t="s">
        <v>296</v>
      </c>
      <c r="C5" s="190">
        <v>15390</v>
      </c>
      <c r="D5" s="168"/>
      <c r="E5" s="570"/>
      <c r="F5" s="174"/>
      <c r="G5" s="170"/>
      <c r="H5" s="769">
        <f>SUM(C5:G6)</f>
        <v>17670</v>
      </c>
      <c r="I5" s="148" t="s">
        <v>137</v>
      </c>
      <c r="J5" s="73"/>
      <c r="K5" s="74"/>
      <c r="L5" s="283" t="s">
        <v>125</v>
      </c>
      <c r="N5" s="227">
        <v>42278</v>
      </c>
      <c r="O5" s="94"/>
    </row>
    <row r="6" spans="1:16" x14ac:dyDescent="0.2">
      <c r="A6" s="703"/>
      <c r="B6" s="145" t="s">
        <v>454</v>
      </c>
      <c r="C6" s="190">
        <v>2280</v>
      </c>
      <c r="D6" s="168"/>
      <c r="E6" s="190"/>
      <c r="F6" s="120"/>
      <c r="G6" s="125"/>
      <c r="H6" s="733"/>
      <c r="I6" s="148" t="s">
        <v>455</v>
      </c>
      <c r="J6" s="73"/>
      <c r="K6" s="74"/>
      <c r="L6" s="283" t="s">
        <v>149</v>
      </c>
      <c r="N6" s="227">
        <v>42279</v>
      </c>
    </row>
    <row r="7" spans="1:16" x14ac:dyDescent="0.2">
      <c r="A7" s="702" t="s">
        <v>256</v>
      </c>
      <c r="B7" s="389" t="s">
        <v>458</v>
      </c>
      <c r="C7" s="391">
        <v>16644</v>
      </c>
      <c r="D7" s="205"/>
      <c r="E7" s="391"/>
      <c r="F7" s="216"/>
      <c r="G7" s="392"/>
      <c r="H7" s="731">
        <f>SUM(C7:G10)</f>
        <v>36594</v>
      </c>
      <c r="I7" s="148" t="s">
        <v>137</v>
      </c>
      <c r="J7" s="73"/>
      <c r="K7" s="74"/>
      <c r="L7" s="160" t="s">
        <v>125</v>
      </c>
      <c r="N7" s="227">
        <v>42296</v>
      </c>
    </row>
    <row r="8" spans="1:16" x14ac:dyDescent="0.2">
      <c r="A8" s="704"/>
      <c r="B8" s="145" t="s">
        <v>460</v>
      </c>
      <c r="C8" s="191"/>
      <c r="D8" s="168"/>
      <c r="E8" s="190">
        <v>3363</v>
      </c>
      <c r="F8" s="120"/>
      <c r="G8" s="125"/>
      <c r="H8" s="732"/>
      <c r="I8" s="148" t="s">
        <v>316</v>
      </c>
      <c r="J8" s="73"/>
      <c r="K8" s="74"/>
      <c r="L8" s="160" t="s">
        <v>149</v>
      </c>
      <c r="N8" s="227">
        <v>42305</v>
      </c>
      <c r="O8" s="293"/>
      <c r="P8" s="226"/>
    </row>
    <row r="9" spans="1:16" x14ac:dyDescent="0.2">
      <c r="A9" s="704"/>
      <c r="B9" s="389" t="s">
        <v>461</v>
      </c>
      <c r="C9" s="398"/>
      <c r="D9" s="205">
        <v>2052</v>
      </c>
      <c r="E9" s="391"/>
      <c r="F9" s="216"/>
      <c r="G9" s="392"/>
      <c r="H9" s="732"/>
      <c r="I9" s="148" t="s">
        <v>121</v>
      </c>
      <c r="J9" s="73"/>
      <c r="K9" s="74"/>
      <c r="L9" s="283" t="s">
        <v>115</v>
      </c>
      <c r="N9" s="227" t="s">
        <v>116</v>
      </c>
    </row>
    <row r="10" spans="1:16" x14ac:dyDescent="0.2">
      <c r="A10" s="703"/>
      <c r="B10" s="358" t="s">
        <v>462</v>
      </c>
      <c r="C10" s="387"/>
      <c r="D10" s="240"/>
      <c r="E10" s="388">
        <v>14535</v>
      </c>
      <c r="F10" s="221"/>
      <c r="G10" s="373"/>
      <c r="H10" s="733"/>
      <c r="I10" s="148" t="s">
        <v>179</v>
      </c>
      <c r="J10" s="73"/>
      <c r="K10" s="74"/>
      <c r="L10" s="160" t="s">
        <v>125</v>
      </c>
      <c r="N10" s="227">
        <v>42283</v>
      </c>
    </row>
    <row r="11" spans="1:16" x14ac:dyDescent="0.2">
      <c r="A11" s="702" t="s">
        <v>123</v>
      </c>
      <c r="B11" s="358" t="s">
        <v>463</v>
      </c>
      <c r="C11" s="387"/>
      <c r="D11" s="240"/>
      <c r="E11" s="359"/>
      <c r="F11" s="221">
        <v>16758</v>
      </c>
      <c r="G11" s="373"/>
      <c r="H11" s="731">
        <f>SUM(C11:G17)</f>
        <v>50638.8</v>
      </c>
      <c r="I11" s="148" t="s">
        <v>473</v>
      </c>
      <c r="J11" s="73"/>
      <c r="K11" s="74"/>
      <c r="L11" s="160" t="s">
        <v>115</v>
      </c>
      <c r="N11" s="227" t="s">
        <v>116</v>
      </c>
    </row>
    <row r="12" spans="1:16" x14ac:dyDescent="0.2">
      <c r="A12" s="704"/>
      <c r="B12" s="358" t="s">
        <v>464</v>
      </c>
      <c r="C12" s="387"/>
      <c r="D12" s="240"/>
      <c r="E12" s="388">
        <v>6156</v>
      </c>
      <c r="F12" s="221"/>
      <c r="G12" s="373"/>
      <c r="H12" s="732"/>
      <c r="I12" s="148" t="s">
        <v>472</v>
      </c>
      <c r="J12" s="73"/>
      <c r="K12" s="74"/>
      <c r="L12" s="160" t="s">
        <v>149</v>
      </c>
      <c r="N12" s="227">
        <v>42289</v>
      </c>
    </row>
    <row r="13" spans="1:16" x14ac:dyDescent="0.2">
      <c r="A13" s="704"/>
      <c r="B13" s="358" t="s">
        <v>465</v>
      </c>
      <c r="C13" s="387"/>
      <c r="D13" s="240"/>
      <c r="E13" s="388">
        <v>21888</v>
      </c>
      <c r="F13" s="221"/>
      <c r="G13" s="373"/>
      <c r="H13" s="732"/>
      <c r="I13" s="148" t="s">
        <v>426</v>
      </c>
      <c r="J13" s="73"/>
      <c r="K13" s="74"/>
      <c r="L13" s="160" t="s">
        <v>149</v>
      </c>
      <c r="N13" s="227">
        <v>42296</v>
      </c>
    </row>
    <row r="14" spans="1:16" x14ac:dyDescent="0.2">
      <c r="A14" s="704"/>
      <c r="B14" s="358" t="s">
        <v>466</v>
      </c>
      <c r="C14" s="191"/>
      <c r="D14" s="168"/>
      <c r="E14" s="190">
        <v>2736</v>
      </c>
      <c r="F14" s="120"/>
      <c r="G14" s="125"/>
      <c r="H14" s="732"/>
      <c r="I14" s="148" t="s">
        <v>471</v>
      </c>
      <c r="J14" s="73"/>
      <c r="K14" s="74"/>
      <c r="L14" s="160" t="s">
        <v>149</v>
      </c>
      <c r="N14" s="227">
        <v>42296</v>
      </c>
    </row>
    <row r="15" spans="1:16" x14ac:dyDescent="0.2">
      <c r="A15" s="704"/>
      <c r="B15" s="358" t="s">
        <v>467</v>
      </c>
      <c r="C15" s="398"/>
      <c r="D15" s="205"/>
      <c r="E15" s="391">
        <v>1732.8</v>
      </c>
      <c r="F15" s="216"/>
      <c r="G15" s="392"/>
      <c r="H15" s="732"/>
      <c r="I15" s="148" t="s">
        <v>470</v>
      </c>
      <c r="J15" s="73"/>
      <c r="K15" s="74"/>
      <c r="L15" s="160" t="s">
        <v>149</v>
      </c>
      <c r="N15" s="227">
        <v>42284</v>
      </c>
    </row>
    <row r="16" spans="1:16" x14ac:dyDescent="0.2">
      <c r="A16" s="704"/>
      <c r="B16" s="358" t="s">
        <v>468</v>
      </c>
      <c r="C16" s="191"/>
      <c r="D16" s="168"/>
      <c r="E16" s="190">
        <v>1368</v>
      </c>
      <c r="F16" s="120"/>
      <c r="G16" s="125"/>
      <c r="H16" s="732"/>
      <c r="I16" s="148" t="s">
        <v>474</v>
      </c>
      <c r="J16" s="73"/>
      <c r="K16" s="74"/>
      <c r="L16" s="160" t="s">
        <v>149</v>
      </c>
      <c r="N16" s="227">
        <v>42353</v>
      </c>
      <c r="O16" s="293" t="s">
        <v>634</v>
      </c>
    </row>
    <row r="17" spans="1:15" x14ac:dyDescent="0.2">
      <c r="A17" s="703"/>
      <c r="B17" s="358" t="s">
        <v>469</v>
      </c>
      <c r="C17" s="213"/>
      <c r="D17" s="182"/>
      <c r="E17" s="213">
        <v>0</v>
      </c>
      <c r="F17" s="118"/>
      <c r="G17" s="159"/>
      <c r="H17" s="733"/>
      <c r="I17" s="148" t="s">
        <v>635</v>
      </c>
      <c r="J17" s="73"/>
      <c r="K17" s="74"/>
      <c r="L17" s="160" t="s">
        <v>485</v>
      </c>
      <c r="N17" s="227" t="s">
        <v>116</v>
      </c>
    </row>
    <row r="18" spans="1:15" x14ac:dyDescent="0.2">
      <c r="A18" s="770" t="s">
        <v>352</v>
      </c>
      <c r="B18" s="358" t="s">
        <v>475</v>
      </c>
      <c r="C18" s="391"/>
      <c r="D18" s="457"/>
      <c r="E18" s="390"/>
      <c r="F18" s="417"/>
      <c r="G18" s="392">
        <v>912</v>
      </c>
      <c r="H18" s="731">
        <f>SUM(C18:G25)</f>
        <v>40182.720000000001</v>
      </c>
      <c r="I18" s="148" t="s">
        <v>336</v>
      </c>
      <c r="J18" s="458"/>
      <c r="K18" s="571"/>
      <c r="L18" s="160" t="s">
        <v>115</v>
      </c>
      <c r="N18" s="227" t="s">
        <v>116</v>
      </c>
    </row>
    <row r="19" spans="1:15" x14ac:dyDescent="0.2">
      <c r="A19" s="771"/>
      <c r="B19" s="358" t="s">
        <v>477</v>
      </c>
      <c r="C19" s="190"/>
      <c r="D19" s="327">
        <v>4696.8</v>
      </c>
      <c r="E19" s="119"/>
      <c r="F19" s="170"/>
      <c r="G19" s="125"/>
      <c r="H19" s="732"/>
      <c r="I19" s="148" t="s">
        <v>243</v>
      </c>
      <c r="J19" s="458"/>
      <c r="K19" s="571"/>
      <c r="L19" s="160" t="s">
        <v>115</v>
      </c>
      <c r="N19" s="227" t="s">
        <v>116</v>
      </c>
    </row>
    <row r="20" spans="1:15" x14ac:dyDescent="0.2">
      <c r="A20" s="771"/>
      <c r="B20" s="358" t="s">
        <v>478</v>
      </c>
      <c r="C20" s="391"/>
      <c r="D20" s="457">
        <v>5016</v>
      </c>
      <c r="E20" s="390"/>
      <c r="F20" s="417"/>
      <c r="G20" s="392"/>
      <c r="H20" s="732"/>
      <c r="I20" s="148" t="s">
        <v>114</v>
      </c>
      <c r="J20" s="458"/>
      <c r="K20" s="571"/>
      <c r="L20" s="160" t="s">
        <v>115</v>
      </c>
      <c r="N20" s="227" t="s">
        <v>116</v>
      </c>
    </row>
    <row r="21" spans="1:15" x14ac:dyDescent="0.2">
      <c r="A21" s="771"/>
      <c r="B21" s="358" t="s">
        <v>479</v>
      </c>
      <c r="C21" s="190"/>
      <c r="D21" s="327">
        <v>3420</v>
      </c>
      <c r="E21" s="119"/>
      <c r="F21" s="170"/>
      <c r="G21" s="125"/>
      <c r="H21" s="732"/>
      <c r="I21" s="148" t="s">
        <v>114</v>
      </c>
      <c r="J21" s="458"/>
      <c r="K21" s="571"/>
      <c r="L21" s="160" t="s">
        <v>115</v>
      </c>
      <c r="N21" s="227" t="s">
        <v>116</v>
      </c>
    </row>
    <row r="22" spans="1:15" x14ac:dyDescent="0.2">
      <c r="A22" s="771"/>
      <c r="B22" s="358" t="s">
        <v>480</v>
      </c>
      <c r="C22" s="391"/>
      <c r="D22" s="457">
        <v>3602.4</v>
      </c>
      <c r="E22" s="390"/>
      <c r="F22" s="417"/>
      <c r="G22" s="392"/>
      <c r="H22" s="732"/>
      <c r="I22" s="148" t="s">
        <v>114</v>
      </c>
      <c r="J22" s="458"/>
      <c r="K22" s="571"/>
      <c r="L22" s="160" t="s">
        <v>115</v>
      </c>
      <c r="N22" s="227" t="s">
        <v>116</v>
      </c>
    </row>
    <row r="23" spans="1:15" x14ac:dyDescent="0.2">
      <c r="A23" s="771"/>
      <c r="B23" s="358" t="s">
        <v>481</v>
      </c>
      <c r="C23" s="190"/>
      <c r="D23" s="327">
        <v>11762.52</v>
      </c>
      <c r="E23" s="119"/>
      <c r="F23" s="170"/>
      <c r="G23" s="125"/>
      <c r="H23" s="732"/>
      <c r="I23" s="148" t="s">
        <v>114</v>
      </c>
      <c r="J23" s="458"/>
      <c r="K23" s="571"/>
      <c r="L23" s="160" t="s">
        <v>115</v>
      </c>
      <c r="N23" s="227" t="s">
        <v>116</v>
      </c>
    </row>
    <row r="24" spans="1:15" x14ac:dyDescent="0.2">
      <c r="A24" s="771"/>
      <c r="B24" s="358" t="s">
        <v>482</v>
      </c>
      <c r="C24" s="391"/>
      <c r="D24" s="457">
        <v>9747</v>
      </c>
      <c r="E24" s="390"/>
      <c r="F24" s="417"/>
      <c r="G24" s="392"/>
      <c r="H24" s="732"/>
      <c r="I24" s="148" t="s">
        <v>484</v>
      </c>
      <c r="J24" s="458"/>
      <c r="K24" s="571"/>
      <c r="L24" s="160" t="s">
        <v>115</v>
      </c>
      <c r="N24" s="227" t="s">
        <v>116</v>
      </c>
    </row>
    <row r="25" spans="1:15" x14ac:dyDescent="0.2">
      <c r="A25" s="736"/>
      <c r="B25" s="358" t="s">
        <v>483</v>
      </c>
      <c r="C25" s="190"/>
      <c r="D25" s="327">
        <v>1026</v>
      </c>
      <c r="E25" s="119"/>
      <c r="F25" s="170"/>
      <c r="G25" s="125"/>
      <c r="H25" s="733"/>
      <c r="I25" s="148" t="s">
        <v>484</v>
      </c>
      <c r="J25" s="458"/>
      <c r="K25" s="571"/>
      <c r="L25" s="160" t="s">
        <v>115</v>
      </c>
      <c r="N25" s="227" t="s">
        <v>116</v>
      </c>
    </row>
    <row r="26" spans="1:15" x14ac:dyDescent="0.2">
      <c r="A26" s="770" t="s">
        <v>223</v>
      </c>
      <c r="B26" s="358" t="s">
        <v>486</v>
      </c>
      <c r="C26" s="190">
        <v>8641.2000000000007</v>
      </c>
      <c r="D26" s="327"/>
      <c r="E26" s="119"/>
      <c r="F26" s="170"/>
      <c r="G26" s="125"/>
      <c r="H26" s="731">
        <f>SUM(C26:G28)</f>
        <v>37802.400000000001</v>
      </c>
      <c r="I26" s="148" t="s">
        <v>148</v>
      </c>
      <c r="J26" s="458"/>
      <c r="K26" s="571"/>
      <c r="L26" s="160" t="s">
        <v>149</v>
      </c>
      <c r="N26" s="227">
        <v>42338</v>
      </c>
      <c r="O26" s="226">
        <f>C26+'SEPTEMBER ''15'!C47</f>
        <v>114</v>
      </c>
    </row>
    <row r="27" spans="1:15" x14ac:dyDescent="0.2">
      <c r="A27" s="771"/>
      <c r="B27" s="358" t="s">
        <v>487</v>
      </c>
      <c r="C27" s="391"/>
      <c r="D27" s="457">
        <v>8641.2000000000007</v>
      </c>
      <c r="E27" s="390"/>
      <c r="F27" s="417"/>
      <c r="G27" s="392"/>
      <c r="H27" s="732"/>
      <c r="I27" s="148" t="s">
        <v>372</v>
      </c>
      <c r="J27" s="458"/>
      <c r="K27" s="571"/>
      <c r="L27" s="160" t="s">
        <v>115</v>
      </c>
      <c r="N27" s="227" t="s">
        <v>116</v>
      </c>
    </row>
    <row r="28" spans="1:15" x14ac:dyDescent="0.2">
      <c r="A28" s="736"/>
      <c r="B28" s="358" t="s">
        <v>488</v>
      </c>
      <c r="C28" s="190"/>
      <c r="D28" s="327"/>
      <c r="E28" s="119"/>
      <c r="F28" s="170">
        <v>20520</v>
      </c>
      <c r="G28" s="125"/>
      <c r="H28" s="733"/>
      <c r="I28" s="148" t="s">
        <v>489</v>
      </c>
      <c r="J28" s="458"/>
      <c r="K28" s="571"/>
      <c r="L28" s="160" t="s">
        <v>115</v>
      </c>
      <c r="N28" s="227" t="s">
        <v>116</v>
      </c>
    </row>
    <row r="29" spans="1:15" x14ac:dyDescent="0.2">
      <c r="A29" s="770" t="s">
        <v>187</v>
      </c>
      <c r="B29" s="358" t="s">
        <v>490</v>
      </c>
      <c r="C29" s="391"/>
      <c r="D29" s="457"/>
      <c r="E29" s="391">
        <v>2565</v>
      </c>
      <c r="F29" s="417"/>
      <c r="G29" s="392"/>
      <c r="H29" s="731">
        <f>SUM(C29:G30)</f>
        <v>8265</v>
      </c>
      <c r="I29" s="148" t="s">
        <v>491</v>
      </c>
      <c r="J29" s="458"/>
      <c r="K29" s="571"/>
      <c r="L29" s="160" t="s">
        <v>492</v>
      </c>
      <c r="N29" s="227">
        <v>42285</v>
      </c>
    </row>
    <row r="30" spans="1:15" x14ac:dyDescent="0.2">
      <c r="A30" s="736"/>
      <c r="B30" s="358" t="s">
        <v>493</v>
      </c>
      <c r="C30" s="190">
        <v>5700</v>
      </c>
      <c r="D30" s="327"/>
      <c r="E30" s="119"/>
      <c r="F30" s="170"/>
      <c r="G30" s="125"/>
      <c r="H30" s="733"/>
      <c r="I30" s="148" t="s">
        <v>494</v>
      </c>
      <c r="J30" s="458"/>
      <c r="K30" s="571"/>
      <c r="L30" s="160" t="s">
        <v>149</v>
      </c>
      <c r="N30" s="227">
        <v>42290</v>
      </c>
    </row>
    <row r="31" spans="1:15" x14ac:dyDescent="0.2">
      <c r="A31" s="456" t="s">
        <v>127</v>
      </c>
      <c r="B31" s="358" t="s">
        <v>498</v>
      </c>
      <c r="C31" s="391"/>
      <c r="D31" s="457"/>
      <c r="E31" s="390">
        <v>0</v>
      </c>
      <c r="F31" s="417"/>
      <c r="G31" s="392"/>
      <c r="H31" s="569">
        <f>SUM(C31:G31)</f>
        <v>0</v>
      </c>
      <c r="I31" s="148" t="s">
        <v>499</v>
      </c>
      <c r="J31" s="458"/>
      <c r="K31" s="571"/>
      <c r="L31" s="160" t="s">
        <v>504</v>
      </c>
      <c r="N31" s="227" t="s">
        <v>116</v>
      </c>
    </row>
    <row r="32" spans="1:15" x14ac:dyDescent="0.2">
      <c r="A32" s="573" t="s">
        <v>150</v>
      </c>
      <c r="B32" s="358" t="s">
        <v>497</v>
      </c>
      <c r="C32" s="190"/>
      <c r="D32" s="327"/>
      <c r="E32" s="190">
        <v>6156</v>
      </c>
      <c r="F32" s="170"/>
      <c r="G32" s="125"/>
      <c r="H32" s="185">
        <f>SUM(C32:G32)</f>
        <v>6156</v>
      </c>
      <c r="I32" s="148" t="s">
        <v>500</v>
      </c>
      <c r="J32" s="458"/>
      <c r="K32" s="571"/>
      <c r="L32" s="160" t="s">
        <v>149</v>
      </c>
      <c r="N32" s="227">
        <v>42291</v>
      </c>
    </row>
    <row r="33" spans="1:16" x14ac:dyDescent="0.2">
      <c r="A33" s="770" t="s">
        <v>294</v>
      </c>
      <c r="B33" s="358" t="s">
        <v>505</v>
      </c>
      <c r="C33" s="391"/>
      <c r="D33" s="457">
        <v>8527.2000000000007</v>
      </c>
      <c r="E33" s="390"/>
      <c r="F33" s="417"/>
      <c r="G33" s="392"/>
      <c r="H33" s="731">
        <f>SUM(C33:G34)</f>
        <v>9256.8000000000011</v>
      </c>
      <c r="I33" s="148" t="s">
        <v>372</v>
      </c>
      <c r="J33" s="458"/>
      <c r="K33" s="571"/>
      <c r="L33" s="160" t="s">
        <v>115</v>
      </c>
      <c r="N33" s="227" t="s">
        <v>116</v>
      </c>
    </row>
    <row r="34" spans="1:16" x14ac:dyDescent="0.2">
      <c r="A34" s="736"/>
      <c r="B34" s="358" t="s">
        <v>506</v>
      </c>
      <c r="C34" s="190"/>
      <c r="D34" s="327"/>
      <c r="E34" s="190">
        <v>729.6</v>
      </c>
      <c r="F34" s="170"/>
      <c r="G34" s="125"/>
      <c r="H34" s="733"/>
      <c r="I34" s="148" t="s">
        <v>507</v>
      </c>
      <c r="J34" s="458"/>
      <c r="K34" s="571"/>
      <c r="L34" s="160" t="s">
        <v>125</v>
      </c>
      <c r="N34" s="227">
        <v>42292</v>
      </c>
    </row>
    <row r="35" spans="1:16" x14ac:dyDescent="0.2">
      <c r="A35" s="456" t="s">
        <v>195</v>
      </c>
      <c r="B35" s="358" t="s">
        <v>508</v>
      </c>
      <c r="C35" s="391"/>
      <c r="D35" s="457"/>
      <c r="E35" s="391">
        <v>13680</v>
      </c>
      <c r="F35" s="417"/>
      <c r="G35" s="392"/>
      <c r="H35" s="569">
        <f>SUM(C35:G35)</f>
        <v>13680</v>
      </c>
      <c r="I35" s="148" t="s">
        <v>179</v>
      </c>
      <c r="J35" s="458"/>
      <c r="K35" s="571"/>
      <c r="L35" s="160" t="s">
        <v>125</v>
      </c>
      <c r="N35" s="227">
        <v>42293</v>
      </c>
    </row>
    <row r="36" spans="1:16" x14ac:dyDescent="0.2">
      <c r="A36" s="770" t="s">
        <v>201</v>
      </c>
      <c r="B36" s="358" t="s">
        <v>509</v>
      </c>
      <c r="C36" s="190"/>
      <c r="D36" s="327"/>
      <c r="E36" s="190">
        <v>855</v>
      </c>
      <c r="F36" s="170"/>
      <c r="G36" s="125"/>
      <c r="H36" s="731">
        <f>SUM(C36:G38)</f>
        <v>6213</v>
      </c>
      <c r="I36" s="148" t="s">
        <v>636</v>
      </c>
      <c r="J36" s="458"/>
      <c r="K36" s="571"/>
      <c r="L36" s="160" t="s">
        <v>149</v>
      </c>
      <c r="N36" s="227">
        <v>42341</v>
      </c>
      <c r="O36" s="293" t="s">
        <v>634</v>
      </c>
    </row>
    <row r="37" spans="1:16" x14ac:dyDescent="0.2">
      <c r="A37" s="771"/>
      <c r="B37" s="358" t="s">
        <v>510</v>
      </c>
      <c r="C37" s="190"/>
      <c r="D37" s="327"/>
      <c r="E37" s="190">
        <v>2736</v>
      </c>
      <c r="F37" s="170"/>
      <c r="G37" s="125"/>
      <c r="H37" s="732"/>
      <c r="I37" s="148" t="s">
        <v>511</v>
      </c>
      <c r="J37" s="458"/>
      <c r="K37" s="571"/>
      <c r="L37" s="160" t="s">
        <v>347</v>
      </c>
      <c r="N37" s="227">
        <v>42293</v>
      </c>
    </row>
    <row r="38" spans="1:16" x14ac:dyDescent="0.2">
      <c r="A38" s="736"/>
      <c r="B38" s="358" t="s">
        <v>513</v>
      </c>
      <c r="C38" s="391"/>
      <c r="D38" s="457"/>
      <c r="E38" s="391">
        <v>2622</v>
      </c>
      <c r="F38" s="417"/>
      <c r="G38" s="392"/>
      <c r="H38" s="733"/>
      <c r="I38" s="148" t="s">
        <v>472</v>
      </c>
      <c r="J38" s="458"/>
      <c r="K38" s="571"/>
      <c r="L38" s="160" t="s">
        <v>149</v>
      </c>
      <c r="N38" s="227">
        <v>42333</v>
      </c>
      <c r="O38" s="293"/>
    </row>
    <row r="39" spans="1:16" x14ac:dyDescent="0.2">
      <c r="A39" s="770" t="s">
        <v>242</v>
      </c>
      <c r="B39" s="358" t="s">
        <v>514</v>
      </c>
      <c r="C39" s="190"/>
      <c r="D39" s="327"/>
      <c r="E39" s="190">
        <v>285</v>
      </c>
      <c r="F39" s="170"/>
      <c r="G39" s="125"/>
      <c r="H39" s="731">
        <f>SUM(C39:G41)</f>
        <v>3192</v>
      </c>
      <c r="I39" s="148" t="s">
        <v>412</v>
      </c>
      <c r="J39" s="458"/>
      <c r="K39" s="571"/>
      <c r="L39" s="160" t="s">
        <v>125</v>
      </c>
      <c r="N39" s="227">
        <v>42628</v>
      </c>
    </row>
    <row r="40" spans="1:16" x14ac:dyDescent="0.2">
      <c r="A40" s="771"/>
      <c r="B40" s="358" t="s">
        <v>515</v>
      </c>
      <c r="C40" s="391"/>
      <c r="D40" s="457"/>
      <c r="E40" s="391">
        <v>2223</v>
      </c>
      <c r="F40" s="417"/>
      <c r="G40" s="392"/>
      <c r="H40" s="732"/>
      <c r="I40" s="148" t="s">
        <v>518</v>
      </c>
      <c r="J40" s="458"/>
      <c r="K40" s="571"/>
      <c r="L40" s="160" t="s">
        <v>125</v>
      </c>
      <c r="N40" s="227">
        <v>42296</v>
      </c>
    </row>
    <row r="41" spans="1:16" x14ac:dyDescent="0.2">
      <c r="A41" s="736"/>
      <c r="B41" s="145" t="s">
        <v>516</v>
      </c>
      <c r="C41" s="190"/>
      <c r="D41" s="327"/>
      <c r="E41" s="190">
        <v>684</v>
      </c>
      <c r="F41" s="170"/>
      <c r="G41" s="125"/>
      <c r="H41" s="733"/>
      <c r="I41" s="148" t="s">
        <v>517</v>
      </c>
      <c r="J41" s="458"/>
      <c r="K41" s="571"/>
      <c r="L41" s="160" t="s">
        <v>492</v>
      </c>
      <c r="N41" s="227">
        <v>42296</v>
      </c>
    </row>
    <row r="42" spans="1:16" x14ac:dyDescent="0.2">
      <c r="A42" s="456" t="s">
        <v>162</v>
      </c>
      <c r="B42" s="389" t="s">
        <v>521</v>
      </c>
      <c r="C42" s="391">
        <v>6441</v>
      </c>
      <c r="D42" s="457"/>
      <c r="E42" s="390"/>
      <c r="F42" s="417"/>
      <c r="G42" s="392"/>
      <c r="H42" s="569">
        <f>SUM(C42:G42)</f>
        <v>6441</v>
      </c>
      <c r="I42" s="148" t="s">
        <v>522</v>
      </c>
      <c r="J42" s="458"/>
      <c r="K42" s="571"/>
      <c r="L42" s="160" t="s">
        <v>149</v>
      </c>
      <c r="N42" s="227">
        <v>42311</v>
      </c>
      <c r="O42" s="293"/>
    </row>
    <row r="43" spans="1:16" x14ac:dyDescent="0.2">
      <c r="A43" s="770" t="s">
        <v>206</v>
      </c>
      <c r="B43" s="145" t="s">
        <v>523</v>
      </c>
      <c r="C43" s="190"/>
      <c r="D43" s="327"/>
      <c r="E43" s="119"/>
      <c r="F43" s="170">
        <v>8208</v>
      </c>
      <c r="G43" s="125"/>
      <c r="H43" s="731">
        <f>SUM(C43:G45)</f>
        <v>11286</v>
      </c>
      <c r="I43" s="148" t="s">
        <v>473</v>
      </c>
      <c r="J43" s="458"/>
      <c r="K43" s="571"/>
      <c r="L43" s="160" t="s">
        <v>115</v>
      </c>
      <c r="N43" s="227" t="s">
        <v>116</v>
      </c>
    </row>
    <row r="44" spans="1:16" x14ac:dyDescent="0.2">
      <c r="A44" s="771"/>
      <c r="B44" s="145" t="s">
        <v>524</v>
      </c>
      <c r="C44" s="391"/>
      <c r="D44" s="457"/>
      <c r="E44" s="391">
        <v>2736</v>
      </c>
      <c r="F44" s="417"/>
      <c r="G44" s="392"/>
      <c r="H44" s="732"/>
      <c r="I44" s="148" t="s">
        <v>428</v>
      </c>
      <c r="J44" s="458"/>
      <c r="K44" s="571"/>
      <c r="L44" s="160" t="s">
        <v>125</v>
      </c>
      <c r="N44" s="227">
        <v>42391</v>
      </c>
      <c r="O44" s="293" t="s">
        <v>631</v>
      </c>
      <c r="P44" s="226">
        <f>E44+'SEPTEMBER ''15'!E27</f>
        <v>7524</v>
      </c>
    </row>
    <row r="45" spans="1:16" x14ac:dyDescent="0.2">
      <c r="A45" s="736"/>
      <c r="B45" s="145" t="s">
        <v>525</v>
      </c>
      <c r="C45" s="190"/>
      <c r="D45" s="327"/>
      <c r="E45" s="190">
        <v>342</v>
      </c>
      <c r="F45" s="170"/>
      <c r="G45" s="125"/>
      <c r="H45" s="733"/>
      <c r="I45" s="148" t="s">
        <v>491</v>
      </c>
      <c r="J45" s="458"/>
      <c r="K45" s="571"/>
      <c r="L45" s="160" t="s">
        <v>492</v>
      </c>
      <c r="N45" s="227">
        <v>42298</v>
      </c>
    </row>
    <row r="46" spans="1:16" x14ac:dyDescent="0.2">
      <c r="A46" s="770" t="s">
        <v>434</v>
      </c>
      <c r="B46" s="389" t="s">
        <v>529</v>
      </c>
      <c r="C46" s="213"/>
      <c r="D46" s="476">
        <v>2508</v>
      </c>
      <c r="E46" s="117"/>
      <c r="F46" s="183"/>
      <c r="G46" s="159"/>
      <c r="H46" s="731">
        <f>SUM(C46:G47)</f>
        <v>3682.2</v>
      </c>
      <c r="I46" s="148" t="s">
        <v>372</v>
      </c>
      <c r="J46" s="458"/>
      <c r="K46" s="571"/>
      <c r="L46" s="160" t="s">
        <v>115</v>
      </c>
      <c r="N46" s="227" t="s">
        <v>116</v>
      </c>
    </row>
    <row r="47" spans="1:16" x14ac:dyDescent="0.2">
      <c r="A47" s="736"/>
      <c r="B47" s="288" t="s">
        <v>530</v>
      </c>
      <c r="C47" s="213">
        <v>1174.2</v>
      </c>
      <c r="D47" s="476"/>
      <c r="E47" s="117"/>
      <c r="F47" s="183"/>
      <c r="G47" s="159"/>
      <c r="H47" s="733"/>
      <c r="I47" s="148" t="s">
        <v>281</v>
      </c>
      <c r="J47" s="458"/>
      <c r="K47" s="571"/>
      <c r="L47" s="160" t="s">
        <v>149</v>
      </c>
      <c r="N47" s="227">
        <v>42345</v>
      </c>
    </row>
    <row r="48" spans="1:16" x14ac:dyDescent="0.2">
      <c r="A48" s="770" t="s">
        <v>164</v>
      </c>
      <c r="B48" s="288" t="s">
        <v>531</v>
      </c>
      <c r="C48" s="213"/>
      <c r="D48" s="476">
        <v>4104</v>
      </c>
      <c r="E48" s="117"/>
      <c r="F48" s="183"/>
      <c r="G48" s="159"/>
      <c r="H48" s="731">
        <f>SUM(C48:G52)</f>
        <v>33595.800000000003</v>
      </c>
      <c r="I48" s="148" t="s">
        <v>157</v>
      </c>
      <c r="J48" s="458"/>
      <c r="K48" s="571"/>
      <c r="L48" s="160" t="s">
        <v>115</v>
      </c>
      <c r="N48" s="227" t="s">
        <v>116</v>
      </c>
    </row>
    <row r="49" spans="1:15" x14ac:dyDescent="0.2">
      <c r="A49" s="771"/>
      <c r="B49" s="389" t="s">
        <v>532</v>
      </c>
      <c r="C49" s="213"/>
      <c r="D49" s="476">
        <v>7125</v>
      </c>
      <c r="E49" s="117"/>
      <c r="F49" s="183"/>
      <c r="G49" s="159"/>
      <c r="H49" s="732"/>
      <c r="I49" s="148" t="s">
        <v>157</v>
      </c>
      <c r="J49" s="458"/>
      <c r="K49" s="571"/>
      <c r="L49" s="160" t="s">
        <v>115</v>
      </c>
      <c r="N49" s="227" t="s">
        <v>116</v>
      </c>
    </row>
    <row r="50" spans="1:15" x14ac:dyDescent="0.2">
      <c r="A50" s="771"/>
      <c r="B50" s="288" t="s">
        <v>533</v>
      </c>
      <c r="C50" s="213"/>
      <c r="D50" s="476"/>
      <c r="E50" s="213">
        <v>5985</v>
      </c>
      <c r="F50" s="183"/>
      <c r="G50" s="159"/>
      <c r="H50" s="732"/>
      <c r="I50" s="148" t="s">
        <v>179</v>
      </c>
      <c r="J50" s="458"/>
      <c r="K50" s="571"/>
      <c r="L50" s="160" t="s">
        <v>125</v>
      </c>
      <c r="N50" s="227">
        <v>42303</v>
      </c>
    </row>
    <row r="51" spans="1:15" x14ac:dyDescent="0.2">
      <c r="A51" s="771"/>
      <c r="B51" s="288" t="s">
        <v>534</v>
      </c>
      <c r="C51" s="213"/>
      <c r="D51" s="476"/>
      <c r="E51" s="213">
        <v>2052</v>
      </c>
      <c r="F51" s="183"/>
      <c r="G51" s="159"/>
      <c r="H51" s="732"/>
      <c r="I51" s="148" t="s">
        <v>539</v>
      </c>
      <c r="J51" s="458"/>
      <c r="K51" s="571"/>
      <c r="L51" s="160" t="s">
        <v>149</v>
      </c>
      <c r="N51" s="227">
        <v>42303</v>
      </c>
    </row>
    <row r="52" spans="1:15" x14ac:dyDescent="0.2">
      <c r="A52" s="736"/>
      <c r="B52" s="288" t="s">
        <v>535</v>
      </c>
      <c r="C52" s="213"/>
      <c r="D52" s="476"/>
      <c r="E52" s="213">
        <v>14329.8</v>
      </c>
      <c r="F52" s="183"/>
      <c r="G52" s="159"/>
      <c r="H52" s="733"/>
      <c r="I52" s="148" t="s">
        <v>538</v>
      </c>
      <c r="J52" s="458"/>
      <c r="K52" s="571"/>
      <c r="L52" s="160" t="s">
        <v>125</v>
      </c>
      <c r="N52" s="227">
        <v>42300</v>
      </c>
    </row>
    <row r="53" spans="1:15" x14ac:dyDescent="0.2">
      <c r="A53" s="575" t="s">
        <v>181</v>
      </c>
      <c r="B53" s="288" t="s">
        <v>542</v>
      </c>
      <c r="C53" s="213">
        <v>11730.6</v>
      </c>
      <c r="D53" s="476"/>
      <c r="E53" s="117"/>
      <c r="F53" s="183"/>
      <c r="G53" s="159"/>
      <c r="H53" s="576">
        <f>SUM(C53:G53)</f>
        <v>11730.6</v>
      </c>
      <c r="I53" s="148" t="s">
        <v>143</v>
      </c>
      <c r="J53" s="458"/>
      <c r="K53" s="571"/>
      <c r="L53" s="160" t="s">
        <v>125</v>
      </c>
      <c r="N53" s="227">
        <v>42332</v>
      </c>
    </row>
    <row r="54" spans="1:15" x14ac:dyDescent="0.2">
      <c r="A54" s="770" t="s">
        <v>215</v>
      </c>
      <c r="B54" s="144" t="s">
        <v>543</v>
      </c>
      <c r="C54" s="213">
        <v>8527.2000000000007</v>
      </c>
      <c r="D54" s="476"/>
      <c r="E54" s="117"/>
      <c r="F54" s="183"/>
      <c r="G54" s="159"/>
      <c r="H54" s="731">
        <f>SUM(C54:G56)</f>
        <v>364549.2</v>
      </c>
      <c r="I54" s="148" t="s">
        <v>249</v>
      </c>
      <c r="J54" s="458"/>
      <c r="K54" s="571"/>
      <c r="L54" s="160" t="s">
        <v>125</v>
      </c>
      <c r="N54" s="227">
        <v>42304</v>
      </c>
    </row>
    <row r="55" spans="1:15" x14ac:dyDescent="0.2">
      <c r="A55" s="771"/>
      <c r="B55" s="144" t="s">
        <v>544</v>
      </c>
      <c r="C55" s="117"/>
      <c r="D55" s="476">
        <v>12882</v>
      </c>
      <c r="E55" s="117"/>
      <c r="F55" s="183"/>
      <c r="G55" s="159"/>
      <c r="H55" s="732"/>
      <c r="I55" s="148" t="s">
        <v>176</v>
      </c>
      <c r="J55" s="458"/>
      <c r="K55" s="571"/>
      <c r="L55" s="160" t="s">
        <v>115</v>
      </c>
      <c r="N55" s="227" t="s">
        <v>116</v>
      </c>
      <c r="O55" s="293" t="s">
        <v>637</v>
      </c>
    </row>
    <row r="56" spans="1:15" x14ac:dyDescent="0.2">
      <c r="A56" s="736"/>
      <c r="B56" s="144" t="s">
        <v>545</v>
      </c>
      <c r="C56" s="117"/>
      <c r="D56" s="476"/>
      <c r="E56" s="213">
        <v>343140</v>
      </c>
      <c r="F56" s="183"/>
      <c r="G56" s="159"/>
      <c r="H56" s="733"/>
      <c r="I56" s="148" t="s">
        <v>546</v>
      </c>
      <c r="J56" s="458"/>
      <c r="K56" s="571"/>
      <c r="L56" s="160" t="s">
        <v>149</v>
      </c>
      <c r="N56" s="227">
        <v>42338</v>
      </c>
      <c r="O56" s="293" t="s">
        <v>634</v>
      </c>
    </row>
    <row r="57" spans="1:15" x14ac:dyDescent="0.2">
      <c r="A57" s="770" t="s">
        <v>339</v>
      </c>
      <c r="B57" s="145" t="s">
        <v>547</v>
      </c>
      <c r="C57" s="119"/>
      <c r="D57" s="327"/>
      <c r="E57" s="190">
        <v>5130</v>
      </c>
      <c r="F57" s="170"/>
      <c r="G57" s="125"/>
      <c r="H57" s="731">
        <f>SUM(C57:G64)</f>
        <v>33111.299999999996</v>
      </c>
      <c r="I57" s="148" t="s">
        <v>559</v>
      </c>
      <c r="J57" s="458"/>
      <c r="K57" s="571"/>
      <c r="L57" s="160" t="s">
        <v>149</v>
      </c>
      <c r="N57" s="227">
        <v>42307</v>
      </c>
    </row>
    <row r="58" spans="1:15" x14ac:dyDescent="0.2">
      <c r="A58" s="771"/>
      <c r="B58" s="144" t="s">
        <v>548</v>
      </c>
      <c r="C58" s="117"/>
      <c r="D58" s="476"/>
      <c r="E58" s="213">
        <v>2736</v>
      </c>
      <c r="F58" s="183"/>
      <c r="G58" s="159"/>
      <c r="H58" s="732"/>
      <c r="I58" s="148" t="s">
        <v>558</v>
      </c>
      <c r="J58" s="458"/>
      <c r="K58" s="571"/>
      <c r="L58" s="160" t="s">
        <v>125</v>
      </c>
      <c r="N58" s="227">
        <v>42391</v>
      </c>
    </row>
    <row r="59" spans="1:15" x14ac:dyDescent="0.2">
      <c r="A59" s="771"/>
      <c r="B59" s="144" t="s">
        <v>549</v>
      </c>
      <c r="C59" s="117"/>
      <c r="D59" s="476"/>
      <c r="E59" s="213">
        <v>5472</v>
      </c>
      <c r="F59" s="183"/>
      <c r="G59" s="159"/>
      <c r="H59" s="732"/>
      <c r="I59" s="148" t="s">
        <v>557</v>
      </c>
      <c r="J59" s="458"/>
      <c r="K59" s="571"/>
      <c r="L59" s="160" t="s">
        <v>149</v>
      </c>
      <c r="N59" s="227">
        <v>42297</v>
      </c>
    </row>
    <row r="60" spans="1:15" x14ac:dyDescent="0.2">
      <c r="A60" s="771"/>
      <c r="B60" s="144" t="s">
        <v>552</v>
      </c>
      <c r="C60" s="117"/>
      <c r="D60" s="476"/>
      <c r="E60" s="213">
        <v>7524</v>
      </c>
      <c r="F60" s="183"/>
      <c r="G60" s="159"/>
      <c r="H60" s="732"/>
      <c r="I60" s="148" t="s">
        <v>554</v>
      </c>
      <c r="J60" s="458"/>
      <c r="K60" s="571"/>
      <c r="L60" s="160" t="s">
        <v>125</v>
      </c>
      <c r="N60" s="227">
        <v>42338</v>
      </c>
    </row>
    <row r="61" spans="1:15" x14ac:dyDescent="0.2">
      <c r="A61" s="771"/>
      <c r="B61" s="145" t="s">
        <v>560</v>
      </c>
      <c r="C61" s="119"/>
      <c r="D61" s="327">
        <v>684</v>
      </c>
      <c r="E61" s="119"/>
      <c r="F61" s="170"/>
      <c r="G61" s="125"/>
      <c r="H61" s="732"/>
      <c r="I61" s="148" t="s">
        <v>553</v>
      </c>
      <c r="J61" s="458"/>
      <c r="K61" s="571"/>
      <c r="L61" s="160" t="s">
        <v>115</v>
      </c>
      <c r="N61" s="227" t="s">
        <v>116</v>
      </c>
    </row>
    <row r="62" spans="1:15" x14ac:dyDescent="0.2">
      <c r="A62" s="771"/>
      <c r="B62" s="144" t="s">
        <v>561</v>
      </c>
      <c r="C62" s="117"/>
      <c r="D62" s="476">
        <v>6156</v>
      </c>
      <c r="E62" s="117"/>
      <c r="F62" s="183"/>
      <c r="G62" s="159"/>
      <c r="H62" s="732"/>
      <c r="I62" s="148" t="s">
        <v>221</v>
      </c>
      <c r="J62" s="458"/>
      <c r="K62" s="571"/>
      <c r="L62" s="160" t="s">
        <v>115</v>
      </c>
      <c r="N62" s="227" t="s">
        <v>116</v>
      </c>
    </row>
    <row r="63" spans="1:15" x14ac:dyDescent="0.2">
      <c r="A63" s="771"/>
      <c r="B63" s="145" t="s">
        <v>562</v>
      </c>
      <c r="C63" s="190">
        <v>2924.1</v>
      </c>
      <c r="D63" s="327"/>
      <c r="E63" s="119"/>
      <c r="F63" s="170"/>
      <c r="G63" s="125"/>
      <c r="H63" s="732"/>
      <c r="I63" s="148" t="s">
        <v>563</v>
      </c>
      <c r="J63" s="458"/>
      <c r="K63" s="571"/>
      <c r="L63" s="160" t="s">
        <v>125</v>
      </c>
      <c r="N63" s="227">
        <v>42310</v>
      </c>
    </row>
    <row r="64" spans="1:15" x14ac:dyDescent="0.2">
      <c r="A64" s="736"/>
      <c r="B64" s="145" t="s">
        <v>564</v>
      </c>
      <c r="C64" s="190">
        <v>2485.1999999999998</v>
      </c>
      <c r="D64" s="327"/>
      <c r="E64" s="119"/>
      <c r="F64" s="170"/>
      <c r="G64" s="125"/>
      <c r="H64" s="733"/>
      <c r="I64" s="148" t="s">
        <v>565</v>
      </c>
      <c r="J64" s="458"/>
      <c r="K64" s="571"/>
      <c r="L64" s="160" t="s">
        <v>149</v>
      </c>
      <c r="N64" s="227">
        <v>42324</v>
      </c>
    </row>
    <row r="65" spans="1:18" x14ac:dyDescent="0.2">
      <c r="A65" s="770" t="s">
        <v>182</v>
      </c>
      <c r="B65" s="361" t="s">
        <v>566</v>
      </c>
      <c r="C65" s="340"/>
      <c r="D65" s="476"/>
      <c r="E65" s="117"/>
      <c r="F65" s="183">
        <v>969</v>
      </c>
      <c r="G65" s="159"/>
      <c r="H65" s="731">
        <f>SUM(C65:G69)</f>
        <v>23443.420000000002</v>
      </c>
      <c r="I65" s="148" t="s">
        <v>473</v>
      </c>
      <c r="J65" s="458"/>
      <c r="K65" s="571"/>
      <c r="L65" s="160" t="s">
        <v>115</v>
      </c>
      <c r="N65" s="227" t="s">
        <v>116</v>
      </c>
    </row>
    <row r="66" spans="1:18" x14ac:dyDescent="0.2">
      <c r="A66" s="771"/>
      <c r="B66" s="361" t="s">
        <v>567</v>
      </c>
      <c r="C66" s="190">
        <v>7045.2</v>
      </c>
      <c r="D66" s="327"/>
      <c r="E66" s="191"/>
      <c r="F66" s="170"/>
      <c r="G66" s="125"/>
      <c r="H66" s="732"/>
      <c r="I66" s="148" t="s">
        <v>399</v>
      </c>
      <c r="J66" s="73"/>
      <c r="K66" s="74"/>
      <c r="L66" s="160" t="s">
        <v>125</v>
      </c>
      <c r="N66" s="227">
        <v>42310</v>
      </c>
    </row>
    <row r="67" spans="1:18" x14ac:dyDescent="0.2">
      <c r="A67" s="771"/>
      <c r="B67" s="144" t="s">
        <v>573</v>
      </c>
      <c r="C67" s="213"/>
      <c r="D67" s="182"/>
      <c r="E67" s="213">
        <v>2736</v>
      </c>
      <c r="F67" s="118"/>
      <c r="G67" s="183"/>
      <c r="H67" s="732"/>
      <c r="I67" s="148" t="s">
        <v>577</v>
      </c>
      <c r="J67" s="73"/>
      <c r="K67" s="74"/>
      <c r="L67" s="283" t="s">
        <v>149</v>
      </c>
      <c r="N67" s="227">
        <v>42308</v>
      </c>
      <c r="O67" s="94"/>
    </row>
    <row r="68" spans="1:18" x14ac:dyDescent="0.2">
      <c r="A68" s="771"/>
      <c r="B68" s="144" t="s">
        <v>575</v>
      </c>
      <c r="C68" s="213"/>
      <c r="D68" s="182"/>
      <c r="E68" s="213">
        <v>4485.22</v>
      </c>
      <c r="F68" s="118"/>
      <c r="G68" s="183"/>
      <c r="H68" s="732"/>
      <c r="I68" s="148" t="s">
        <v>579</v>
      </c>
      <c r="J68" s="73"/>
      <c r="K68" s="74"/>
      <c r="L68" s="283" t="s">
        <v>125</v>
      </c>
      <c r="N68" s="227">
        <v>42320</v>
      </c>
      <c r="O68" s="94"/>
    </row>
    <row r="69" spans="1:18" ht="13.5" thickBot="1" x14ac:dyDescent="0.25">
      <c r="A69" s="771"/>
      <c r="B69" s="144" t="s">
        <v>576</v>
      </c>
      <c r="C69" s="117"/>
      <c r="D69" s="182"/>
      <c r="E69" s="213">
        <v>8208</v>
      </c>
      <c r="F69" s="118"/>
      <c r="G69" s="183"/>
      <c r="H69" s="732"/>
      <c r="I69" s="148" t="s">
        <v>578</v>
      </c>
      <c r="J69" s="73"/>
      <c r="K69" s="74"/>
      <c r="L69" s="283" t="s">
        <v>149</v>
      </c>
      <c r="N69" s="227">
        <v>42270</v>
      </c>
      <c r="O69" s="94"/>
    </row>
    <row r="70" spans="1:18" s="13" customFormat="1" ht="14.25" thickTop="1" thickBot="1" x14ac:dyDescent="0.25">
      <c r="A70" s="705"/>
      <c r="B70" s="705"/>
      <c r="C70" s="126">
        <f t="shared" ref="C70:H70" si="0">SUM(C5:C69)</f>
        <v>88982.7</v>
      </c>
      <c r="D70" s="126">
        <f t="shared" si="0"/>
        <v>91950.12</v>
      </c>
      <c r="E70" s="126">
        <f t="shared" si="0"/>
        <v>489190.42</v>
      </c>
      <c r="F70" s="126">
        <f t="shared" si="0"/>
        <v>46455</v>
      </c>
      <c r="G70" s="126">
        <f t="shared" si="0"/>
        <v>912</v>
      </c>
      <c r="H70" s="707">
        <f t="shared" si="0"/>
        <v>717490.24000000011</v>
      </c>
      <c r="I70" s="707"/>
      <c r="J70" s="707"/>
      <c r="K70" s="707"/>
      <c r="L70" s="128">
        <f>SUM(C5:G69)</f>
        <v>717490.23999999987</v>
      </c>
      <c r="M70" s="128"/>
      <c r="N70" s="162"/>
    </row>
    <row r="71" spans="1:18" s="13" customFormat="1" ht="15" customHeight="1" x14ac:dyDescent="0.2">
      <c r="A71" s="99"/>
      <c r="B71" s="146"/>
      <c r="C71" s="755">
        <f>SUM(C70:D70)</f>
        <v>180932.82</v>
      </c>
      <c r="D71" s="756"/>
      <c r="E71" s="709">
        <f>SUM(E70:F70)</f>
        <v>535645.41999999993</v>
      </c>
      <c r="F71" s="710"/>
      <c r="G71" s="127">
        <f>SUM(G70)</f>
        <v>912</v>
      </c>
      <c r="H71" s="706"/>
      <c r="I71" s="706"/>
      <c r="J71" s="706"/>
      <c r="K71" s="706"/>
      <c r="L71" s="128">
        <f>SUM(C70:G70)</f>
        <v>717490.24</v>
      </c>
      <c r="M71" s="128"/>
      <c r="N71" s="162"/>
      <c r="Q71" s="160"/>
    </row>
    <row r="72" spans="1:18" s="13" customFormat="1" x14ac:dyDescent="0.2">
      <c r="A72" s="99"/>
      <c r="B72" s="146"/>
      <c r="C72" s="9"/>
      <c r="D72" s="9"/>
      <c r="E72" s="9"/>
      <c r="F72" s="9"/>
      <c r="G72" s="9"/>
      <c r="H72" s="726"/>
      <c r="I72" s="727"/>
      <c r="L72" s="8"/>
      <c r="M72" s="8"/>
      <c r="N72" s="162"/>
      <c r="P72" s="160"/>
      <c r="Q72" s="295"/>
    </row>
    <row r="73" spans="1:18" x14ac:dyDescent="0.2">
      <c r="H73" s="722"/>
      <c r="I73" s="722"/>
      <c r="P73" s="160"/>
      <c r="Q73" s="226"/>
      <c r="R73" s="13"/>
    </row>
    <row r="74" spans="1:18" ht="15" x14ac:dyDescent="0.2">
      <c r="A74" s="124" t="s">
        <v>17</v>
      </c>
    </row>
    <row r="75" spans="1:18" s="161" customFormat="1" ht="7.5" customHeight="1" x14ac:dyDescent="0.2">
      <c r="A75" s="4"/>
      <c r="B75" s="143"/>
      <c r="C75" s="1"/>
      <c r="D75" s="1"/>
      <c r="E75" s="1"/>
      <c r="F75" s="1"/>
      <c r="G75" s="1"/>
      <c r="H75"/>
      <c r="I75"/>
      <c r="J75"/>
      <c r="K75"/>
      <c r="L75"/>
      <c r="M75"/>
      <c r="O75"/>
    </row>
    <row r="76" spans="1:18" s="161" customFormat="1" ht="17.25" customHeight="1" thickBot="1" x14ac:dyDescent="0.25">
      <c r="A76" s="217"/>
      <c r="B76" s="218" t="s">
        <v>83</v>
      </c>
      <c r="C76" s="196"/>
      <c r="D76" s="1"/>
      <c r="E76" s="1"/>
      <c r="F76" s="1"/>
      <c r="G76" s="1"/>
      <c r="H76"/>
      <c r="I76"/>
      <c r="J76"/>
      <c r="K76"/>
      <c r="L76"/>
      <c r="M76"/>
      <c r="O76"/>
    </row>
    <row r="77" spans="1:18" s="161" customFormat="1" ht="13.5" thickBot="1" x14ac:dyDescent="0.25">
      <c r="A77" s="711"/>
      <c r="B77" s="712"/>
      <c r="C77" s="178" t="s">
        <v>48</v>
      </c>
      <c r="D77" s="186" t="s">
        <v>11</v>
      </c>
      <c r="E77" s="284" t="s">
        <v>42</v>
      </c>
      <c r="F77" s="284" t="s">
        <v>354</v>
      </c>
      <c r="G77" s="572" t="s">
        <v>27</v>
      </c>
      <c r="H77" s="587" t="s">
        <v>13</v>
      </c>
      <c r="I77" s="92" t="s">
        <v>61</v>
      </c>
      <c r="J77" s="92" t="s">
        <v>9</v>
      </c>
      <c r="K77" s="157" t="s">
        <v>47</v>
      </c>
      <c r="M77"/>
    </row>
    <row r="78" spans="1:18" s="161" customFormat="1" x14ac:dyDescent="0.2">
      <c r="A78" s="777" t="s">
        <v>461</v>
      </c>
      <c r="B78" s="778"/>
      <c r="C78" s="588"/>
      <c r="D78" s="166"/>
      <c r="E78" s="132"/>
      <c r="F78" s="132"/>
      <c r="G78" s="132"/>
      <c r="H78" s="132"/>
      <c r="I78" s="589"/>
      <c r="J78" s="589"/>
      <c r="K78" s="474">
        <v>2052</v>
      </c>
      <c r="M78"/>
    </row>
    <row r="79" spans="1:18" x14ac:dyDescent="0.2">
      <c r="A79" s="772" t="s">
        <v>477</v>
      </c>
      <c r="B79" s="773"/>
      <c r="C79" s="590"/>
      <c r="D79" s="137"/>
      <c r="E79" s="134"/>
      <c r="F79" s="134"/>
      <c r="G79" s="199"/>
      <c r="H79" s="193">
        <v>4696.8</v>
      </c>
      <c r="I79" s="193"/>
      <c r="J79" s="122"/>
      <c r="K79" s="136"/>
      <c r="L79" s="161"/>
      <c r="N79"/>
    </row>
    <row r="80" spans="1:18" x14ac:dyDescent="0.2">
      <c r="A80" s="772" t="s">
        <v>478</v>
      </c>
      <c r="B80" s="773"/>
      <c r="C80" s="590"/>
      <c r="D80" s="137"/>
      <c r="E80" s="134"/>
      <c r="F80" s="134"/>
      <c r="G80" s="199"/>
      <c r="H80" s="350"/>
      <c r="I80" s="193"/>
      <c r="J80" s="122">
        <v>5016</v>
      </c>
      <c r="K80" s="136"/>
      <c r="L80" s="161"/>
      <c r="N80"/>
    </row>
    <row r="81" spans="1:15" x14ac:dyDescent="0.2">
      <c r="A81" s="772" t="s">
        <v>479</v>
      </c>
      <c r="B81" s="773"/>
      <c r="C81" s="590"/>
      <c r="D81" s="137"/>
      <c r="E81" s="134"/>
      <c r="F81" s="134"/>
      <c r="G81" s="199"/>
      <c r="H81" s="350"/>
      <c r="I81" s="193"/>
      <c r="J81" s="122">
        <v>3420</v>
      </c>
      <c r="K81" s="136"/>
      <c r="L81" s="161"/>
      <c r="N81"/>
    </row>
    <row r="82" spans="1:15" x14ac:dyDescent="0.2">
      <c r="A82" s="772" t="s">
        <v>480</v>
      </c>
      <c r="B82" s="773"/>
      <c r="C82" s="590"/>
      <c r="D82" s="137"/>
      <c r="E82" s="134"/>
      <c r="F82" s="134"/>
      <c r="G82" s="224"/>
      <c r="H82" s="591"/>
      <c r="I82" s="203"/>
      <c r="J82" s="122">
        <v>3602.4</v>
      </c>
      <c r="K82" s="136"/>
      <c r="L82" s="161"/>
      <c r="N82"/>
    </row>
    <row r="83" spans="1:15" x14ac:dyDescent="0.2">
      <c r="A83" s="772" t="s">
        <v>481</v>
      </c>
      <c r="B83" s="773"/>
      <c r="C83" s="590"/>
      <c r="D83" s="137"/>
      <c r="E83" s="350"/>
      <c r="F83" s="122"/>
      <c r="G83" s="122"/>
      <c r="H83" s="591"/>
      <c r="I83" s="203"/>
      <c r="J83" s="122">
        <v>11762.52</v>
      </c>
      <c r="K83" s="136"/>
      <c r="L83" s="161"/>
      <c r="N83"/>
    </row>
    <row r="84" spans="1:15" x14ac:dyDescent="0.2">
      <c r="A84" s="772" t="s">
        <v>482</v>
      </c>
      <c r="B84" s="773"/>
      <c r="C84" s="590"/>
      <c r="D84" s="137"/>
      <c r="E84" s="351"/>
      <c r="F84" s="205">
        <v>9747</v>
      </c>
      <c r="G84" s="586"/>
      <c r="H84" s="449"/>
      <c r="I84" s="203"/>
      <c r="J84" s="135"/>
      <c r="K84" s="206"/>
      <c r="L84" s="161"/>
      <c r="N84"/>
    </row>
    <row r="85" spans="1:15" x14ac:dyDescent="0.2">
      <c r="A85" s="772" t="s">
        <v>483</v>
      </c>
      <c r="B85" s="773"/>
      <c r="C85" s="590"/>
      <c r="D85" s="137"/>
      <c r="E85" s="199"/>
      <c r="F85" s="168">
        <v>1026</v>
      </c>
      <c r="G85" s="248"/>
      <c r="H85" s="449"/>
      <c r="I85" s="203"/>
      <c r="J85" s="203"/>
      <c r="K85" s="206"/>
      <c r="L85" s="161"/>
      <c r="N85"/>
    </row>
    <row r="86" spans="1:15" x14ac:dyDescent="0.2">
      <c r="A86" s="772" t="s">
        <v>487</v>
      </c>
      <c r="B86" s="774"/>
      <c r="C86" s="590"/>
      <c r="D86" s="137"/>
      <c r="E86" s="224"/>
      <c r="F86" s="203"/>
      <c r="G86" s="449"/>
      <c r="H86" s="449"/>
      <c r="I86" s="203">
        <v>8641.2000000000007</v>
      </c>
      <c r="J86" s="203"/>
      <c r="K86" s="206"/>
      <c r="L86" s="161"/>
      <c r="N86"/>
    </row>
    <row r="87" spans="1:15" x14ac:dyDescent="0.2">
      <c r="A87" s="772" t="s">
        <v>505</v>
      </c>
      <c r="B87" s="774"/>
      <c r="C87" s="590"/>
      <c r="D87" s="137"/>
      <c r="E87" s="224"/>
      <c r="F87" s="203"/>
      <c r="G87" s="449"/>
      <c r="H87" s="449"/>
      <c r="I87" s="203">
        <v>8527.2000000000007</v>
      </c>
      <c r="J87" s="203"/>
      <c r="K87" s="206"/>
      <c r="L87" s="161"/>
      <c r="N87"/>
    </row>
    <row r="88" spans="1:15" x14ac:dyDescent="0.2">
      <c r="A88" s="772" t="s">
        <v>529</v>
      </c>
      <c r="B88" s="774"/>
      <c r="C88" s="590"/>
      <c r="D88" s="137"/>
      <c r="E88" s="224"/>
      <c r="F88" s="203"/>
      <c r="G88" s="449"/>
      <c r="H88" s="135"/>
      <c r="I88" s="203">
        <v>2508</v>
      </c>
      <c r="J88" s="203"/>
      <c r="K88" s="206"/>
      <c r="L88" s="161"/>
      <c r="N88"/>
    </row>
    <row r="89" spans="1:15" x14ac:dyDescent="0.2">
      <c r="A89" s="772" t="s">
        <v>531</v>
      </c>
      <c r="B89" s="774"/>
      <c r="C89" s="590"/>
      <c r="D89" s="137">
        <v>4104</v>
      </c>
      <c r="E89" s="224"/>
      <c r="F89" s="591"/>
      <c r="G89" s="137"/>
      <c r="H89" s="203"/>
      <c r="I89" s="203"/>
      <c r="J89" s="203"/>
      <c r="K89" s="206"/>
      <c r="L89" s="161"/>
      <c r="N89"/>
    </row>
    <row r="90" spans="1:15" x14ac:dyDescent="0.2">
      <c r="A90" s="772" t="s">
        <v>532</v>
      </c>
      <c r="B90" s="774"/>
      <c r="C90" s="592"/>
      <c r="D90" s="229">
        <v>7125</v>
      </c>
      <c r="E90" s="224"/>
      <c r="F90" s="137"/>
      <c r="G90" s="224"/>
      <c r="H90" s="203"/>
      <c r="I90" s="203"/>
      <c r="J90" s="203"/>
      <c r="K90" s="206"/>
      <c r="L90" s="161"/>
      <c r="N90"/>
    </row>
    <row r="91" spans="1:15" x14ac:dyDescent="0.2">
      <c r="A91" s="772" t="s">
        <v>544</v>
      </c>
      <c r="B91" s="774"/>
      <c r="C91" s="592">
        <v>12882</v>
      </c>
      <c r="D91" s="229"/>
      <c r="E91" s="202"/>
      <c r="F91" s="202"/>
      <c r="G91" s="224"/>
      <c r="H91" s="193"/>
      <c r="I91" s="203"/>
      <c r="J91" s="203"/>
      <c r="K91" s="206"/>
      <c r="L91" s="161"/>
      <c r="N91"/>
    </row>
    <row r="92" spans="1:15" x14ac:dyDescent="0.2">
      <c r="A92" s="772" t="s">
        <v>560</v>
      </c>
      <c r="B92" s="774"/>
      <c r="C92" s="592"/>
      <c r="D92" s="229"/>
      <c r="E92" s="202"/>
      <c r="F92" s="202"/>
      <c r="G92" s="224">
        <v>684</v>
      </c>
      <c r="H92" s="203"/>
      <c r="I92" s="203"/>
      <c r="J92" s="203"/>
      <c r="K92" s="206"/>
      <c r="L92" s="585"/>
      <c r="N92"/>
    </row>
    <row r="93" spans="1:15" ht="13.5" thickBot="1" x14ac:dyDescent="0.25">
      <c r="A93" s="775" t="s">
        <v>561</v>
      </c>
      <c r="B93" s="776"/>
      <c r="C93" s="593"/>
      <c r="D93" s="167"/>
      <c r="E93" s="155">
        <v>6156</v>
      </c>
      <c r="F93" s="155"/>
      <c r="G93" s="352"/>
      <c r="H93" s="194"/>
      <c r="I93" s="194"/>
      <c r="J93" s="194"/>
      <c r="K93" s="158"/>
      <c r="L93" s="585"/>
      <c r="N93"/>
    </row>
    <row r="94" spans="1:15" ht="13.5" thickBot="1" x14ac:dyDescent="0.25">
      <c r="C94" s="556">
        <f t="shared" ref="C94:J94" si="1">SUM(C79:C93)</f>
        <v>12882</v>
      </c>
      <c r="D94" s="187">
        <f t="shared" si="1"/>
        <v>11229</v>
      </c>
      <c r="E94" s="187">
        <f t="shared" si="1"/>
        <v>6156</v>
      </c>
      <c r="F94" s="139">
        <f t="shared" si="1"/>
        <v>10773</v>
      </c>
      <c r="G94" s="187">
        <f t="shared" si="1"/>
        <v>684</v>
      </c>
      <c r="H94" s="139">
        <f t="shared" si="1"/>
        <v>4696.8</v>
      </c>
      <c r="I94" s="547">
        <f t="shared" si="1"/>
        <v>19676.400000000001</v>
      </c>
      <c r="J94" s="187">
        <f t="shared" si="1"/>
        <v>23800.92</v>
      </c>
      <c r="K94" s="247">
        <f>SUM(K78:K93)</f>
        <v>2052</v>
      </c>
      <c r="L94" s="699">
        <f>SUM(C94:K94)</f>
        <v>91950.12000000001</v>
      </c>
      <c r="M94" s="700"/>
      <c r="N94"/>
    </row>
    <row r="95" spans="1:15" x14ac:dyDescent="0.2">
      <c r="C95" s="604" t="s">
        <v>222</v>
      </c>
      <c r="G95" s="604" t="s">
        <v>222</v>
      </c>
      <c r="H95" s="604" t="s">
        <v>222</v>
      </c>
      <c r="I95" s="604" t="s">
        <v>222</v>
      </c>
      <c r="J95" s="604" t="s">
        <v>222</v>
      </c>
      <c r="N95"/>
      <c r="O95" s="161"/>
    </row>
    <row r="96" spans="1:15" s="602" customFormat="1" ht="11.25" x14ac:dyDescent="0.2">
      <c r="A96" s="599"/>
      <c r="B96" s="600"/>
      <c r="C96" s="601"/>
      <c r="D96" s="601"/>
      <c r="E96" s="601"/>
      <c r="F96" s="601"/>
      <c r="G96" s="598"/>
      <c r="H96" s="598"/>
      <c r="I96" s="598"/>
      <c r="J96" s="598"/>
      <c r="L96" s="598"/>
      <c r="N96" s="603"/>
    </row>
  </sheetData>
  <mergeCells count="58">
    <mergeCell ref="A26:A28"/>
    <mergeCell ref="H26:H28"/>
    <mergeCell ref="A29:A30"/>
    <mergeCell ref="H29:H30"/>
    <mergeCell ref="H72:I72"/>
    <mergeCell ref="A33:A34"/>
    <mergeCell ref="H33:H34"/>
    <mergeCell ref="A36:A38"/>
    <mergeCell ref="H36:H38"/>
    <mergeCell ref="A39:A41"/>
    <mergeCell ref="H39:H41"/>
    <mergeCell ref="A43:A45"/>
    <mergeCell ref="A46:A47"/>
    <mergeCell ref="H46:H47"/>
    <mergeCell ref="A65:A69"/>
    <mergeCell ref="H65:H69"/>
    <mergeCell ref="A78:B78"/>
    <mergeCell ref="H43:H45"/>
    <mergeCell ref="A79:B79"/>
    <mergeCell ref="A77:B77"/>
    <mergeCell ref="H73:I73"/>
    <mergeCell ref="A48:A52"/>
    <mergeCell ref="H48:H52"/>
    <mergeCell ref="A54:A56"/>
    <mergeCell ref="H54:H56"/>
    <mergeCell ref="A57:A64"/>
    <mergeCell ref="H57:H64"/>
    <mergeCell ref="L94:M94"/>
    <mergeCell ref="A80:B80"/>
    <mergeCell ref="A82:B82"/>
    <mergeCell ref="A81:B81"/>
    <mergeCell ref="A83:B83"/>
    <mergeCell ref="A91:B91"/>
    <mergeCell ref="A89:B89"/>
    <mergeCell ref="A90:B90"/>
    <mergeCell ref="A88:B88"/>
    <mergeCell ref="A87:B87"/>
    <mergeCell ref="A86:B86"/>
    <mergeCell ref="A84:B84"/>
    <mergeCell ref="A85:B85"/>
    <mergeCell ref="A92:B92"/>
    <mergeCell ref="A93:B93"/>
    <mergeCell ref="I4:K4"/>
    <mergeCell ref="A70:B70"/>
    <mergeCell ref="H70:K71"/>
    <mergeCell ref="C71:D71"/>
    <mergeCell ref="E71:F71"/>
    <mergeCell ref="G2:G4"/>
    <mergeCell ref="C3:D3"/>
    <mergeCell ref="E3:F3"/>
    <mergeCell ref="A5:A6"/>
    <mergeCell ref="H5:H6"/>
    <mergeCell ref="A7:A10"/>
    <mergeCell ref="H7:H10"/>
    <mergeCell ref="A11:A17"/>
    <mergeCell ref="H11:H17"/>
    <mergeCell ref="A18:A25"/>
    <mergeCell ref="H18:H25"/>
  </mergeCells>
  <printOptions horizontalCentered="1"/>
  <pageMargins left="0.15748031496062992" right="0.15748031496062992" top="0.35433070866141736" bottom="0.55118110236220474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R72"/>
  <sheetViews>
    <sheetView zoomScaleNormal="100" workbookViewId="0">
      <pane ySplit="4" topLeftCell="A5" activePane="bottomLeft" state="frozenSplit"/>
      <selection pane="bottomLeft" activeCell="J15" sqref="J15"/>
    </sheetView>
  </sheetViews>
  <sheetFormatPr defaultRowHeight="12.75" x14ac:dyDescent="0.2"/>
  <cols>
    <col min="1" max="1" width="2.42578125" style="242" customWidth="1"/>
    <col min="2" max="2" width="6.42578125" style="143" customWidth="1"/>
    <col min="3" max="4" width="10.7109375" style="1" customWidth="1"/>
    <col min="5" max="5" width="11.28515625" style="1" customWidth="1"/>
    <col min="6" max="6" width="10" style="1" customWidth="1"/>
    <col min="7" max="7" width="10.28515625" style="1" customWidth="1"/>
    <col min="8" max="8" width="11" customWidth="1"/>
    <col min="9" max="10" width="10.42578125" customWidth="1"/>
    <col min="11" max="11" width="10" customWidth="1"/>
    <col min="12" max="13" width="10.7109375" customWidth="1"/>
    <col min="14" max="14" width="10.7109375" style="161" customWidth="1"/>
    <col min="15" max="15" width="14.7109375" customWidth="1"/>
    <col min="16" max="16" width="14.140625" customWidth="1"/>
    <col min="17" max="17" width="13.28515625" customWidth="1"/>
    <col min="18" max="18" width="13.7109375" customWidth="1"/>
    <col min="19" max="19" width="13.140625" customWidth="1"/>
  </cols>
  <sheetData>
    <row r="1" spans="1:18" ht="15" x14ac:dyDescent="0.25">
      <c r="A1" s="100" t="s">
        <v>101</v>
      </c>
      <c r="C1" s="3"/>
    </row>
    <row r="2" spans="1:18" ht="9.75" customHeight="1" thickBot="1" x14ac:dyDescent="0.25">
      <c r="A2" s="2"/>
      <c r="C2" s="209"/>
      <c r="D2" s="210"/>
      <c r="E2" s="210"/>
      <c r="F2" s="210"/>
      <c r="G2" s="716" t="s">
        <v>476</v>
      </c>
      <c r="H2" s="212"/>
    </row>
    <row r="3" spans="1:18" ht="17.25" customHeight="1" x14ac:dyDescent="0.2">
      <c r="A3" s="2"/>
      <c r="C3" s="718" t="s">
        <v>83</v>
      </c>
      <c r="D3" s="719"/>
      <c r="E3" s="718" t="s">
        <v>82</v>
      </c>
      <c r="F3" s="719"/>
      <c r="G3" s="716"/>
      <c r="H3" s="212"/>
    </row>
    <row r="4" spans="1:18" ht="13.5" thickBot="1" x14ac:dyDescent="0.25">
      <c r="A4" s="141" t="s">
        <v>6</v>
      </c>
      <c r="B4" s="172" t="s">
        <v>18</v>
      </c>
      <c r="C4" s="113" t="s">
        <v>7</v>
      </c>
      <c r="D4" s="211" t="s">
        <v>8</v>
      </c>
      <c r="E4" s="113" t="s">
        <v>86</v>
      </c>
      <c r="F4" s="114" t="s">
        <v>8</v>
      </c>
      <c r="G4" s="717"/>
      <c r="H4" s="241" t="s">
        <v>0</v>
      </c>
      <c r="I4" s="715" t="s">
        <v>19</v>
      </c>
      <c r="J4" s="715"/>
      <c r="K4" s="715"/>
    </row>
    <row r="5" spans="1:18" x14ac:dyDescent="0.2">
      <c r="A5" s="763" t="s">
        <v>256</v>
      </c>
      <c r="B5" s="145" t="s">
        <v>568</v>
      </c>
      <c r="C5" s="191"/>
      <c r="D5" s="120">
        <v>7752</v>
      </c>
      <c r="E5" s="225"/>
      <c r="F5" s="168"/>
      <c r="G5" s="130"/>
      <c r="H5" s="769">
        <f>SUM(C5:G8)</f>
        <v>12483</v>
      </c>
      <c r="I5" s="148" t="s">
        <v>572</v>
      </c>
      <c r="J5" s="73"/>
      <c r="K5" s="74"/>
      <c r="L5" s="160" t="s">
        <v>115</v>
      </c>
      <c r="N5" s="227" t="s">
        <v>116</v>
      </c>
      <c r="O5" s="212"/>
      <c r="P5" s="212"/>
      <c r="Q5" s="212"/>
      <c r="R5" s="212"/>
    </row>
    <row r="6" spans="1:18" x14ac:dyDescent="0.2">
      <c r="A6" s="704"/>
      <c r="B6" s="145" t="s">
        <v>569</v>
      </c>
      <c r="C6" s="190">
        <v>1368</v>
      </c>
      <c r="D6" s="120"/>
      <c r="E6" s="225"/>
      <c r="F6" s="168"/>
      <c r="G6" s="130"/>
      <c r="H6" s="732"/>
      <c r="I6" s="148" t="s">
        <v>292</v>
      </c>
      <c r="J6" s="73"/>
      <c r="K6" s="74"/>
      <c r="L6" s="160" t="s">
        <v>149</v>
      </c>
      <c r="N6" s="227">
        <v>42311</v>
      </c>
      <c r="O6" s="293"/>
      <c r="P6" s="212"/>
      <c r="Q6" s="212"/>
      <c r="R6" s="212"/>
    </row>
    <row r="7" spans="1:18" x14ac:dyDescent="0.2">
      <c r="A7" s="704"/>
      <c r="B7" s="145" t="s">
        <v>570</v>
      </c>
      <c r="C7" s="119"/>
      <c r="D7" s="120">
        <v>1539</v>
      </c>
      <c r="E7" s="225"/>
      <c r="F7" s="168"/>
      <c r="G7" s="130"/>
      <c r="H7" s="732"/>
      <c r="I7" s="148" t="s">
        <v>154</v>
      </c>
      <c r="J7" s="73"/>
      <c r="K7" s="74"/>
      <c r="L7" s="160" t="s">
        <v>115</v>
      </c>
      <c r="N7" s="227" t="s">
        <v>116</v>
      </c>
    </row>
    <row r="8" spans="1:18" x14ac:dyDescent="0.2">
      <c r="A8" s="703"/>
      <c r="B8" s="144" t="s">
        <v>571</v>
      </c>
      <c r="C8" s="213">
        <v>1824</v>
      </c>
      <c r="D8" s="118"/>
      <c r="E8" s="409"/>
      <c r="F8" s="182"/>
      <c r="G8" s="377"/>
      <c r="H8" s="733"/>
      <c r="I8" s="148" t="s">
        <v>143</v>
      </c>
      <c r="J8" s="73"/>
      <c r="K8" s="74"/>
      <c r="L8" s="160" t="s">
        <v>125</v>
      </c>
      <c r="N8" s="227">
        <v>42347</v>
      </c>
    </row>
    <row r="9" spans="1:18" x14ac:dyDescent="0.2">
      <c r="A9" s="477" t="s">
        <v>117</v>
      </c>
      <c r="B9" s="144" t="s">
        <v>581</v>
      </c>
      <c r="C9" s="213">
        <v>2964</v>
      </c>
      <c r="D9" s="118"/>
      <c r="E9" s="397"/>
      <c r="F9" s="182"/>
      <c r="G9" s="377"/>
      <c r="H9" s="631">
        <f>SUM(C9:G9)</f>
        <v>2964</v>
      </c>
      <c r="I9" s="148" t="s">
        <v>455</v>
      </c>
      <c r="J9" s="73"/>
      <c r="K9" s="74"/>
      <c r="L9" s="160" t="s">
        <v>149</v>
      </c>
      <c r="N9" s="227">
        <v>42312</v>
      </c>
      <c r="O9" s="293"/>
    </row>
    <row r="10" spans="1:18" x14ac:dyDescent="0.2">
      <c r="A10" s="300" t="s">
        <v>352</v>
      </c>
      <c r="B10" s="288" t="s">
        <v>584</v>
      </c>
      <c r="C10" s="391">
        <v>136.80000000000001</v>
      </c>
      <c r="D10" s="216"/>
      <c r="E10" s="396"/>
      <c r="F10" s="205"/>
      <c r="G10" s="410"/>
      <c r="H10" s="185">
        <f>SUM(C10:G10)</f>
        <v>136.80000000000001</v>
      </c>
      <c r="I10" s="148" t="s">
        <v>249</v>
      </c>
      <c r="J10" s="73"/>
      <c r="K10" s="74"/>
      <c r="L10" s="160" t="s">
        <v>125</v>
      </c>
      <c r="N10" s="227">
        <v>42674</v>
      </c>
    </row>
    <row r="11" spans="1:18" x14ac:dyDescent="0.2">
      <c r="A11" s="184" t="s">
        <v>127</v>
      </c>
      <c r="B11" s="288" t="s">
        <v>585</v>
      </c>
      <c r="C11" s="119"/>
      <c r="D11" s="120">
        <v>8641.2000000000007</v>
      </c>
      <c r="E11" s="225"/>
      <c r="F11" s="168"/>
      <c r="G11" s="130"/>
      <c r="H11" s="492">
        <f>SUM(C11:G11)</f>
        <v>8641.2000000000007</v>
      </c>
      <c r="I11" s="148" t="s">
        <v>372</v>
      </c>
      <c r="J11" s="73"/>
      <c r="K11" s="74"/>
      <c r="L11" s="283" t="s">
        <v>115</v>
      </c>
      <c r="N11" s="227" t="s">
        <v>116</v>
      </c>
    </row>
    <row r="12" spans="1:18" x14ac:dyDescent="0.2">
      <c r="A12" s="184" t="s">
        <v>139</v>
      </c>
      <c r="B12" s="144" t="s">
        <v>586</v>
      </c>
      <c r="C12" s="213">
        <v>2348.4</v>
      </c>
      <c r="D12" s="118"/>
      <c r="E12" s="409"/>
      <c r="F12" s="182"/>
      <c r="G12" s="377"/>
      <c r="H12" s="185">
        <f>SUM(C12:G12)</f>
        <v>2348.4</v>
      </c>
      <c r="I12" s="148" t="s">
        <v>281</v>
      </c>
      <c r="J12" s="553"/>
      <c r="K12" s="554"/>
      <c r="L12" s="160" t="s">
        <v>149</v>
      </c>
      <c r="N12" s="227">
        <v>42345</v>
      </c>
    </row>
    <row r="13" spans="1:18" x14ac:dyDescent="0.2">
      <c r="A13" s="702" t="s">
        <v>150</v>
      </c>
      <c r="B13" s="144" t="s">
        <v>587</v>
      </c>
      <c r="C13" s="213">
        <v>4788</v>
      </c>
      <c r="D13" s="118"/>
      <c r="E13" s="409"/>
      <c r="F13" s="182"/>
      <c r="G13" s="377"/>
      <c r="H13" s="731">
        <f>SUM(C13:G14)</f>
        <v>9006</v>
      </c>
      <c r="I13" s="148" t="s">
        <v>351</v>
      </c>
      <c r="J13" s="73"/>
      <c r="K13" s="554"/>
      <c r="L13" s="160" t="s">
        <v>149</v>
      </c>
      <c r="N13" s="227">
        <v>42324</v>
      </c>
    </row>
    <row r="14" spans="1:18" x14ac:dyDescent="0.2">
      <c r="A14" s="703"/>
      <c r="B14" s="144" t="s">
        <v>588</v>
      </c>
      <c r="C14" s="213">
        <v>4218</v>
      </c>
      <c r="D14" s="118"/>
      <c r="E14" s="409"/>
      <c r="F14" s="182"/>
      <c r="G14" s="377"/>
      <c r="H14" s="733"/>
      <c r="I14" s="148" t="s">
        <v>589</v>
      </c>
      <c r="J14" s="73"/>
      <c r="K14" s="74"/>
      <c r="L14" s="160" t="s">
        <v>125</v>
      </c>
      <c r="N14" s="227">
        <v>42320</v>
      </c>
    </row>
    <row r="15" spans="1:18" x14ac:dyDescent="0.2">
      <c r="A15" s="702" t="s">
        <v>192</v>
      </c>
      <c r="B15" s="144" t="s">
        <v>590</v>
      </c>
      <c r="C15" s="117"/>
      <c r="D15" s="118"/>
      <c r="E15" s="409"/>
      <c r="F15" s="182">
        <v>11400</v>
      </c>
      <c r="G15" s="377"/>
      <c r="H15" s="731">
        <f>SUM(C15:G22)</f>
        <v>33755.4</v>
      </c>
      <c r="I15" s="148" t="s">
        <v>591</v>
      </c>
      <c r="J15" s="73"/>
      <c r="K15" s="74"/>
      <c r="L15" s="283" t="s">
        <v>115</v>
      </c>
      <c r="N15" s="227" t="s">
        <v>116</v>
      </c>
    </row>
    <row r="16" spans="1:18" x14ac:dyDescent="0.2">
      <c r="A16" s="704"/>
      <c r="B16" s="144" t="s">
        <v>592</v>
      </c>
      <c r="C16" s="117"/>
      <c r="D16" s="118">
        <v>1824</v>
      </c>
      <c r="E16" s="409"/>
      <c r="F16" s="182"/>
      <c r="G16" s="377"/>
      <c r="H16" s="732"/>
      <c r="I16" s="148" t="s">
        <v>114</v>
      </c>
      <c r="J16" s="73"/>
      <c r="K16" s="74"/>
      <c r="L16" s="283" t="s">
        <v>115</v>
      </c>
      <c r="N16" s="227" t="s">
        <v>116</v>
      </c>
    </row>
    <row r="17" spans="1:16" x14ac:dyDescent="0.2">
      <c r="A17" s="704"/>
      <c r="B17" s="144" t="s">
        <v>593</v>
      </c>
      <c r="C17" s="117"/>
      <c r="D17" s="118">
        <v>1482</v>
      </c>
      <c r="E17" s="409"/>
      <c r="F17" s="182"/>
      <c r="G17" s="377"/>
      <c r="H17" s="732"/>
      <c r="I17" s="148" t="s">
        <v>114</v>
      </c>
      <c r="J17" s="73"/>
      <c r="K17" s="74"/>
      <c r="L17" s="283" t="s">
        <v>115</v>
      </c>
      <c r="N17" s="227" t="s">
        <v>116</v>
      </c>
    </row>
    <row r="18" spans="1:16" x14ac:dyDescent="0.2">
      <c r="A18" s="704"/>
      <c r="B18" s="144" t="s">
        <v>594</v>
      </c>
      <c r="C18" s="117"/>
      <c r="D18" s="118">
        <v>5700</v>
      </c>
      <c r="E18" s="409"/>
      <c r="F18" s="182"/>
      <c r="G18" s="377"/>
      <c r="H18" s="732"/>
      <c r="I18" s="148" t="s">
        <v>114</v>
      </c>
      <c r="J18" s="73"/>
      <c r="K18" s="74"/>
      <c r="L18" s="283" t="s">
        <v>115</v>
      </c>
      <c r="N18" s="227" t="s">
        <v>116</v>
      </c>
    </row>
    <row r="19" spans="1:16" x14ac:dyDescent="0.2">
      <c r="A19" s="704"/>
      <c r="B19" s="144" t="s">
        <v>595</v>
      </c>
      <c r="C19" s="117"/>
      <c r="D19" s="118">
        <v>4788</v>
      </c>
      <c r="E19" s="409"/>
      <c r="F19" s="182"/>
      <c r="G19" s="377"/>
      <c r="H19" s="732"/>
      <c r="I19" s="148" t="s">
        <v>114</v>
      </c>
      <c r="J19" s="73"/>
      <c r="K19" s="74"/>
      <c r="L19" s="283" t="s">
        <v>115</v>
      </c>
      <c r="N19" s="227" t="s">
        <v>116</v>
      </c>
    </row>
    <row r="20" spans="1:16" x14ac:dyDescent="0.2">
      <c r="A20" s="704"/>
      <c r="B20" s="144" t="s">
        <v>596</v>
      </c>
      <c r="C20" s="117"/>
      <c r="D20" s="118">
        <v>3545.4</v>
      </c>
      <c r="E20" s="409"/>
      <c r="F20" s="182"/>
      <c r="G20" s="377"/>
      <c r="H20" s="732"/>
      <c r="I20" s="148" t="s">
        <v>114</v>
      </c>
      <c r="J20" s="73"/>
      <c r="K20" s="74"/>
      <c r="L20" s="283" t="s">
        <v>115</v>
      </c>
      <c r="N20" s="227" t="s">
        <v>116</v>
      </c>
    </row>
    <row r="21" spans="1:16" x14ac:dyDescent="0.2">
      <c r="A21" s="704"/>
      <c r="B21" s="144" t="s">
        <v>597</v>
      </c>
      <c r="C21" s="117"/>
      <c r="D21" s="118"/>
      <c r="E21" s="409"/>
      <c r="F21" s="182"/>
      <c r="G21" s="377">
        <v>912</v>
      </c>
      <c r="H21" s="732"/>
      <c r="I21" s="148" t="s">
        <v>598</v>
      </c>
      <c r="J21" s="73"/>
      <c r="K21" s="74"/>
      <c r="L21" s="283" t="s">
        <v>115</v>
      </c>
      <c r="N21" s="227" t="s">
        <v>116</v>
      </c>
    </row>
    <row r="22" spans="1:16" x14ac:dyDescent="0.2">
      <c r="A22" s="704"/>
      <c r="B22" s="144" t="s">
        <v>599</v>
      </c>
      <c r="C22" s="117"/>
      <c r="D22" s="118"/>
      <c r="E22" s="409"/>
      <c r="F22" s="182">
        <v>4104</v>
      </c>
      <c r="G22" s="377"/>
      <c r="H22" s="732"/>
      <c r="I22" s="148" t="s">
        <v>601</v>
      </c>
      <c r="J22" s="73"/>
      <c r="K22" s="74"/>
      <c r="L22" s="283" t="s">
        <v>115</v>
      </c>
      <c r="N22" s="227" t="s">
        <v>116</v>
      </c>
    </row>
    <row r="23" spans="1:16" x14ac:dyDescent="0.2">
      <c r="A23" s="702" t="s">
        <v>201</v>
      </c>
      <c r="B23" s="144" t="s">
        <v>602</v>
      </c>
      <c r="C23" s="213">
        <v>4332</v>
      </c>
      <c r="D23" s="118"/>
      <c r="E23" s="409"/>
      <c r="F23" s="182"/>
      <c r="G23" s="377"/>
      <c r="H23" s="731">
        <f>SUM(C23:G24)</f>
        <v>4845</v>
      </c>
      <c r="I23" s="148" t="s">
        <v>455</v>
      </c>
      <c r="J23" s="73"/>
      <c r="K23" s="74"/>
      <c r="L23" s="160" t="s">
        <v>149</v>
      </c>
      <c r="N23" s="227">
        <v>42324</v>
      </c>
    </row>
    <row r="24" spans="1:16" x14ac:dyDescent="0.2">
      <c r="A24" s="703"/>
      <c r="B24" s="144" t="s">
        <v>603</v>
      </c>
      <c r="C24" s="117"/>
      <c r="D24" s="118"/>
      <c r="E24" s="409">
        <v>513</v>
      </c>
      <c r="F24" s="182"/>
      <c r="G24" s="377"/>
      <c r="H24" s="733"/>
      <c r="I24" s="148" t="s">
        <v>315</v>
      </c>
      <c r="J24" s="73"/>
      <c r="K24" s="74"/>
      <c r="L24" s="283" t="s">
        <v>125</v>
      </c>
      <c r="N24" s="227">
        <v>42327</v>
      </c>
    </row>
    <row r="25" spans="1:16" x14ac:dyDescent="0.2">
      <c r="A25" s="702" t="s">
        <v>152</v>
      </c>
      <c r="B25" s="144" t="s">
        <v>604</v>
      </c>
      <c r="C25" s="117"/>
      <c r="D25" s="118"/>
      <c r="E25" s="409">
        <v>1710</v>
      </c>
      <c r="F25" s="182"/>
      <c r="G25" s="377"/>
      <c r="H25" s="731">
        <f>SUM(C25:G29)</f>
        <v>22686</v>
      </c>
      <c r="I25" s="148" t="s">
        <v>605</v>
      </c>
      <c r="J25" s="73"/>
      <c r="K25" s="74"/>
      <c r="L25" s="160" t="s">
        <v>149</v>
      </c>
      <c r="N25" s="227">
        <v>42338</v>
      </c>
    </row>
    <row r="26" spans="1:16" x14ac:dyDescent="0.2">
      <c r="A26" s="704"/>
      <c r="B26" s="144" t="s">
        <v>606</v>
      </c>
      <c r="C26" s="117"/>
      <c r="D26" s="118">
        <v>855</v>
      </c>
      <c r="E26" s="409"/>
      <c r="F26" s="182"/>
      <c r="G26" s="377"/>
      <c r="H26" s="732"/>
      <c r="I26" s="148" t="s">
        <v>114</v>
      </c>
      <c r="J26" s="73"/>
      <c r="K26" s="74"/>
      <c r="L26" s="283" t="s">
        <v>115</v>
      </c>
      <c r="N26" s="227" t="s">
        <v>116</v>
      </c>
    </row>
    <row r="27" spans="1:16" x14ac:dyDescent="0.2">
      <c r="A27" s="704"/>
      <c r="B27" s="144" t="s">
        <v>607</v>
      </c>
      <c r="C27" s="213">
        <v>7182</v>
      </c>
      <c r="D27" s="118"/>
      <c r="E27" s="409"/>
      <c r="F27" s="182"/>
      <c r="G27" s="377"/>
      <c r="H27" s="732"/>
      <c r="I27" s="148" t="s">
        <v>351</v>
      </c>
      <c r="J27" s="73"/>
      <c r="K27" s="74"/>
      <c r="L27" s="283" t="s">
        <v>125</v>
      </c>
      <c r="N27" s="231">
        <v>42324</v>
      </c>
    </row>
    <row r="28" spans="1:16" x14ac:dyDescent="0.2">
      <c r="A28" s="704"/>
      <c r="B28" s="144" t="s">
        <v>608</v>
      </c>
      <c r="C28" s="117"/>
      <c r="D28" s="118">
        <v>5187</v>
      </c>
      <c r="E28" s="409"/>
      <c r="F28" s="182"/>
      <c r="G28" s="377"/>
      <c r="H28" s="732"/>
      <c r="I28" s="148" t="s">
        <v>176</v>
      </c>
      <c r="J28" s="73"/>
      <c r="K28" s="74"/>
      <c r="L28" s="283" t="s">
        <v>115</v>
      </c>
      <c r="N28" s="227" t="s">
        <v>116</v>
      </c>
    </row>
    <row r="29" spans="1:16" x14ac:dyDescent="0.2">
      <c r="A29" s="703"/>
      <c r="B29" s="144" t="s">
        <v>609</v>
      </c>
      <c r="C29" s="117"/>
      <c r="D29" s="118">
        <v>7752</v>
      </c>
      <c r="E29" s="409"/>
      <c r="F29" s="182"/>
      <c r="G29" s="377"/>
      <c r="H29" s="733"/>
      <c r="I29" s="148" t="s">
        <v>572</v>
      </c>
      <c r="J29" s="73"/>
      <c r="K29" s="74"/>
      <c r="L29" s="283" t="s">
        <v>115</v>
      </c>
      <c r="N29" s="227" t="s">
        <v>116</v>
      </c>
    </row>
    <row r="30" spans="1:16" x14ac:dyDescent="0.2">
      <c r="A30" s="702" t="s">
        <v>155</v>
      </c>
      <c r="B30" s="144" t="s">
        <v>610</v>
      </c>
      <c r="C30" s="117"/>
      <c r="D30" s="118"/>
      <c r="E30" s="409">
        <v>2052</v>
      </c>
      <c r="F30" s="182"/>
      <c r="G30" s="377"/>
      <c r="H30" s="731">
        <f>SUM(C30:G33)</f>
        <v>29925</v>
      </c>
      <c r="I30" s="148" t="s">
        <v>611</v>
      </c>
      <c r="J30" s="73"/>
      <c r="K30" s="74"/>
      <c r="L30" s="283" t="s">
        <v>125</v>
      </c>
      <c r="N30" s="231">
        <v>42326</v>
      </c>
    </row>
    <row r="31" spans="1:16" x14ac:dyDescent="0.2">
      <c r="A31" s="704"/>
      <c r="B31" s="144" t="s">
        <v>612</v>
      </c>
      <c r="C31" s="117"/>
      <c r="D31" s="118">
        <v>2052</v>
      </c>
      <c r="E31" s="409"/>
      <c r="F31" s="182"/>
      <c r="G31" s="377"/>
      <c r="H31" s="732"/>
      <c r="I31" s="148" t="s">
        <v>121</v>
      </c>
      <c r="J31" s="73"/>
      <c r="K31" s="74"/>
      <c r="L31" s="283" t="s">
        <v>115</v>
      </c>
      <c r="N31" s="227" t="s">
        <v>116</v>
      </c>
    </row>
    <row r="32" spans="1:16" x14ac:dyDescent="0.2">
      <c r="A32" s="704"/>
      <c r="B32" s="144" t="s">
        <v>614</v>
      </c>
      <c r="C32" s="117"/>
      <c r="D32" s="118"/>
      <c r="E32" s="409">
        <v>171</v>
      </c>
      <c r="F32" s="182"/>
      <c r="G32" s="377"/>
      <c r="H32" s="732"/>
      <c r="I32" s="148" t="s">
        <v>615</v>
      </c>
      <c r="J32" s="73"/>
      <c r="K32" s="74"/>
      <c r="L32" s="160" t="s">
        <v>149</v>
      </c>
      <c r="N32" s="227">
        <v>42353</v>
      </c>
      <c r="O32" s="293" t="s">
        <v>634</v>
      </c>
      <c r="P32" s="226">
        <f>E32+'OCTOBER ''15'!E16</f>
        <v>1539</v>
      </c>
    </row>
    <row r="33" spans="1:17" x14ac:dyDescent="0.2">
      <c r="A33" s="703"/>
      <c r="B33" s="144" t="s">
        <v>613</v>
      </c>
      <c r="C33" s="117"/>
      <c r="D33" s="118"/>
      <c r="E33" s="409">
        <v>25650</v>
      </c>
      <c r="F33" s="182"/>
      <c r="G33" s="377"/>
      <c r="H33" s="733"/>
      <c r="I33" s="148" t="s">
        <v>179</v>
      </c>
      <c r="J33" s="73"/>
      <c r="K33" s="74"/>
      <c r="L33" s="160" t="s">
        <v>125</v>
      </c>
      <c r="N33" s="227">
        <v>42339</v>
      </c>
    </row>
    <row r="34" spans="1:17" x14ac:dyDescent="0.2">
      <c r="A34" s="702" t="s">
        <v>242</v>
      </c>
      <c r="B34" s="144" t="s">
        <v>616</v>
      </c>
      <c r="C34" s="117"/>
      <c r="D34" s="118"/>
      <c r="E34" s="409">
        <v>855</v>
      </c>
      <c r="F34" s="182"/>
      <c r="G34" s="377"/>
      <c r="H34" s="731">
        <f>SUM(C34:G35)</f>
        <v>4457.3999999999996</v>
      </c>
      <c r="I34" s="148" t="s">
        <v>470</v>
      </c>
      <c r="J34" s="73"/>
      <c r="K34" s="74"/>
      <c r="L34" s="160" t="s">
        <v>149</v>
      </c>
      <c r="N34" s="227">
        <v>42369</v>
      </c>
    </row>
    <row r="35" spans="1:17" x14ac:dyDescent="0.2">
      <c r="A35" s="703"/>
      <c r="B35" s="144" t="s">
        <v>617</v>
      </c>
      <c r="C35" s="213">
        <v>3602.4</v>
      </c>
      <c r="D35" s="118"/>
      <c r="E35" s="376"/>
      <c r="F35" s="182"/>
      <c r="G35" s="377"/>
      <c r="H35" s="733"/>
      <c r="I35" s="148" t="s">
        <v>137</v>
      </c>
      <c r="J35" s="73"/>
      <c r="K35" s="74"/>
      <c r="L35" s="160" t="s">
        <v>125</v>
      </c>
      <c r="N35" s="227">
        <v>42346</v>
      </c>
    </row>
    <row r="36" spans="1:17" x14ac:dyDescent="0.2">
      <c r="A36" s="702" t="s">
        <v>162</v>
      </c>
      <c r="B36" s="144" t="s">
        <v>618</v>
      </c>
      <c r="C36" s="117"/>
      <c r="D36" s="118"/>
      <c r="E36" s="409">
        <v>1641.6</v>
      </c>
      <c r="F36" s="182"/>
      <c r="G36" s="377"/>
      <c r="H36" s="731">
        <f>SUM(C36:G38)</f>
        <v>6007.7999999999993</v>
      </c>
      <c r="I36" s="148" t="s">
        <v>448</v>
      </c>
      <c r="J36" s="73"/>
      <c r="K36" s="74"/>
      <c r="L36" s="160" t="s">
        <v>149</v>
      </c>
      <c r="N36" s="227">
        <v>42334</v>
      </c>
    </row>
    <row r="37" spans="1:17" x14ac:dyDescent="0.2">
      <c r="A37" s="704"/>
      <c r="B37" s="144" t="s">
        <v>620</v>
      </c>
      <c r="C37" s="117"/>
      <c r="D37" s="118"/>
      <c r="E37" s="409">
        <v>1710</v>
      </c>
      <c r="F37" s="182"/>
      <c r="G37" s="377"/>
      <c r="H37" s="732"/>
      <c r="I37" s="148" t="s">
        <v>621</v>
      </c>
      <c r="J37" s="73"/>
      <c r="K37" s="74"/>
      <c r="L37" s="160" t="s">
        <v>149</v>
      </c>
      <c r="N37" s="227">
        <v>42321</v>
      </c>
    </row>
    <row r="38" spans="1:17" x14ac:dyDescent="0.2">
      <c r="A38" s="703"/>
      <c r="B38" s="144" t="s">
        <v>619</v>
      </c>
      <c r="C38" s="213">
        <v>2656.2</v>
      </c>
      <c r="D38" s="118"/>
      <c r="E38" s="376"/>
      <c r="F38" s="182"/>
      <c r="G38" s="377"/>
      <c r="H38" s="733"/>
      <c r="I38" s="148" t="s">
        <v>351</v>
      </c>
      <c r="J38" s="73"/>
      <c r="K38" s="74"/>
      <c r="L38" s="160" t="s">
        <v>125</v>
      </c>
      <c r="N38" s="227">
        <v>42331</v>
      </c>
    </row>
    <row r="39" spans="1:17" x14ac:dyDescent="0.2">
      <c r="A39" s="176" t="s">
        <v>164</v>
      </c>
      <c r="B39" s="144" t="s">
        <v>622</v>
      </c>
      <c r="C39" s="117"/>
      <c r="D39" s="118"/>
      <c r="E39" s="409">
        <v>5814</v>
      </c>
      <c r="F39" s="182"/>
      <c r="G39" s="377"/>
      <c r="H39" s="181">
        <f>SUM(C39:G39)</f>
        <v>5814</v>
      </c>
      <c r="I39" s="148" t="s">
        <v>374</v>
      </c>
      <c r="J39" s="73"/>
      <c r="K39" s="74"/>
      <c r="L39" s="160" t="s">
        <v>149</v>
      </c>
      <c r="N39" s="227">
        <v>42335</v>
      </c>
    </row>
    <row r="40" spans="1:17" x14ac:dyDescent="0.2">
      <c r="A40" s="702" t="s">
        <v>167</v>
      </c>
      <c r="B40" s="144" t="s">
        <v>623</v>
      </c>
      <c r="C40" s="213">
        <v>5996.4</v>
      </c>
      <c r="D40" s="118"/>
      <c r="E40" s="376"/>
      <c r="F40" s="182"/>
      <c r="G40" s="377"/>
      <c r="H40" s="731">
        <f>SUM(C40:G43)</f>
        <v>13178.4</v>
      </c>
      <c r="I40" s="148" t="s">
        <v>148</v>
      </c>
      <c r="J40" s="73"/>
      <c r="K40" s="74"/>
      <c r="L40" s="160" t="s">
        <v>149</v>
      </c>
      <c r="N40" s="227">
        <v>42369</v>
      </c>
    </row>
    <row r="41" spans="1:17" x14ac:dyDescent="0.2">
      <c r="A41" s="704"/>
      <c r="B41" s="144" t="s">
        <v>624</v>
      </c>
      <c r="C41" s="117"/>
      <c r="D41" s="118"/>
      <c r="E41" s="409">
        <v>2052</v>
      </c>
      <c r="F41" s="182"/>
      <c r="G41" s="377"/>
      <c r="H41" s="732"/>
      <c r="I41" s="148" t="s">
        <v>625</v>
      </c>
      <c r="J41" s="73"/>
      <c r="K41" s="74"/>
      <c r="L41" s="160" t="s">
        <v>149</v>
      </c>
      <c r="N41" s="227">
        <v>42338</v>
      </c>
    </row>
    <row r="42" spans="1:17" x14ac:dyDescent="0.2">
      <c r="A42" s="704"/>
      <c r="B42" s="144" t="s">
        <v>628</v>
      </c>
      <c r="C42" s="117"/>
      <c r="D42" s="118"/>
      <c r="E42" s="409">
        <v>2736</v>
      </c>
      <c r="F42" s="182"/>
      <c r="G42" s="377"/>
      <c r="H42" s="732"/>
      <c r="I42" s="148" t="s">
        <v>629</v>
      </c>
      <c r="J42" s="73"/>
      <c r="K42" s="74"/>
      <c r="L42" s="160" t="s">
        <v>125</v>
      </c>
      <c r="N42" s="227">
        <v>42332</v>
      </c>
    </row>
    <row r="43" spans="1:17" x14ac:dyDescent="0.2">
      <c r="A43" s="703"/>
      <c r="B43" s="144" t="s">
        <v>630</v>
      </c>
      <c r="C43" s="117"/>
      <c r="D43" s="118">
        <v>2394</v>
      </c>
      <c r="E43" s="376"/>
      <c r="F43" s="182"/>
      <c r="G43" s="377"/>
      <c r="H43" s="733"/>
      <c r="I43" s="148" t="s">
        <v>372</v>
      </c>
      <c r="J43" s="73"/>
      <c r="K43" s="74"/>
      <c r="L43" s="283" t="s">
        <v>115</v>
      </c>
      <c r="N43" s="227" t="s">
        <v>116</v>
      </c>
    </row>
    <row r="44" spans="1:17" x14ac:dyDescent="0.2">
      <c r="A44" s="176" t="s">
        <v>170</v>
      </c>
      <c r="B44" s="144" t="s">
        <v>638</v>
      </c>
      <c r="C44" s="117"/>
      <c r="D44" s="118"/>
      <c r="E44" s="409">
        <v>4104</v>
      </c>
      <c r="F44" s="182"/>
      <c r="G44" s="377"/>
      <c r="H44" s="181">
        <f>SUM(C44:G44)</f>
        <v>4104</v>
      </c>
      <c r="I44" s="148" t="s">
        <v>639</v>
      </c>
      <c r="J44" s="73"/>
      <c r="K44" s="74"/>
      <c r="L44" s="160" t="s">
        <v>149</v>
      </c>
      <c r="N44" s="227">
        <v>42565</v>
      </c>
    </row>
    <row r="45" spans="1:17" x14ac:dyDescent="0.2">
      <c r="A45" s="702" t="s">
        <v>181</v>
      </c>
      <c r="B45" s="144" t="s">
        <v>640</v>
      </c>
      <c r="C45" s="117"/>
      <c r="D45" s="118">
        <v>14800</v>
      </c>
      <c r="E45" s="376"/>
      <c r="F45" s="182"/>
      <c r="G45" s="377"/>
      <c r="H45" s="731">
        <f>SUM(C45:G46)</f>
        <v>86560</v>
      </c>
      <c r="I45" s="148" t="s">
        <v>130</v>
      </c>
      <c r="J45" s="73"/>
      <c r="K45" s="74"/>
      <c r="L45" s="283" t="s">
        <v>115</v>
      </c>
      <c r="N45" s="227" t="s">
        <v>116</v>
      </c>
    </row>
    <row r="46" spans="1:17" x14ac:dyDescent="0.2">
      <c r="A46" s="703"/>
      <c r="B46" s="144" t="s">
        <v>641</v>
      </c>
      <c r="C46" s="117"/>
      <c r="D46" s="118">
        <v>71760</v>
      </c>
      <c r="E46" s="376"/>
      <c r="F46" s="182"/>
      <c r="G46" s="377"/>
      <c r="H46" s="733"/>
      <c r="I46" s="148" t="s">
        <v>130</v>
      </c>
      <c r="J46" s="73"/>
      <c r="K46" s="74"/>
      <c r="L46" s="283" t="s">
        <v>115</v>
      </c>
      <c r="N46" s="227" t="s">
        <v>116</v>
      </c>
    </row>
    <row r="47" spans="1:17" ht="13.5" thickBot="1" x14ac:dyDescent="0.25">
      <c r="A47" s="176" t="s">
        <v>251</v>
      </c>
      <c r="B47" s="144" t="s">
        <v>642</v>
      </c>
      <c r="C47" s="213">
        <v>1368</v>
      </c>
      <c r="D47" s="118"/>
      <c r="E47" s="376"/>
      <c r="F47" s="182"/>
      <c r="G47" s="377"/>
      <c r="H47" s="181">
        <f>SUM(C47:G47)</f>
        <v>1368</v>
      </c>
      <c r="I47" s="148" t="s">
        <v>292</v>
      </c>
      <c r="J47" s="73"/>
      <c r="K47" s="74"/>
      <c r="L47" s="160" t="s">
        <v>149</v>
      </c>
      <c r="N47" s="227">
        <v>42335</v>
      </c>
    </row>
    <row r="48" spans="1:17" s="13" customFormat="1" ht="14.25" thickTop="1" thickBot="1" x14ac:dyDescent="0.25">
      <c r="A48" s="705"/>
      <c r="B48" s="705"/>
      <c r="C48" s="115">
        <f t="shared" ref="C48:H48" si="0">SUM(C5:C47)</f>
        <v>42784.200000000004</v>
      </c>
      <c r="D48" s="116">
        <f t="shared" si="0"/>
        <v>140071.6</v>
      </c>
      <c r="E48" s="223">
        <f t="shared" si="0"/>
        <v>49008.6</v>
      </c>
      <c r="F48" s="169">
        <f t="shared" si="0"/>
        <v>15504</v>
      </c>
      <c r="G48" s="126">
        <f t="shared" si="0"/>
        <v>912</v>
      </c>
      <c r="H48" s="707">
        <f t="shared" si="0"/>
        <v>248280.4</v>
      </c>
      <c r="I48" s="707"/>
      <c r="J48" s="707"/>
      <c r="K48" s="707"/>
      <c r="L48" s="758">
        <f>SUM(C5:G47)</f>
        <v>248280.40000000002</v>
      </c>
      <c r="M48" s="758"/>
      <c r="N48" s="162"/>
      <c r="Q48" s="289"/>
    </row>
    <row r="49" spans="1:17" s="13" customFormat="1" ht="15" customHeight="1" x14ac:dyDescent="0.2">
      <c r="A49" s="99"/>
      <c r="B49" s="146"/>
      <c r="C49" s="755">
        <f>SUM(C48:D48)</f>
        <v>182855.80000000002</v>
      </c>
      <c r="D49" s="756"/>
      <c r="E49" s="709">
        <f>SUM(E48:F48)</f>
        <v>64512.6</v>
      </c>
      <c r="F49" s="710"/>
      <c r="G49" s="127">
        <f>SUM(G48)</f>
        <v>912</v>
      </c>
      <c r="H49" s="706"/>
      <c r="I49" s="706"/>
      <c r="J49" s="706"/>
      <c r="K49" s="706"/>
      <c r="L49" s="128"/>
      <c r="M49" s="128"/>
      <c r="N49" s="162"/>
      <c r="Q49" s="290"/>
    </row>
    <row r="50" spans="1:17" s="13" customFormat="1" x14ac:dyDescent="0.2">
      <c r="A50" s="99"/>
      <c r="B50" s="146"/>
      <c r="C50" s="9"/>
      <c r="D50" s="9"/>
      <c r="E50" s="9"/>
      <c r="F50" s="9"/>
      <c r="G50" s="9"/>
      <c r="H50" s="726"/>
      <c r="I50" s="727"/>
      <c r="L50" s="779">
        <f>SUM('OCTOBER ''15'!C5:G69,'NOVEMBER ''15'!C5:G47)-'NOVEMBER ''15'!D46-'NOVEMBER ''15'!D45</f>
        <v>879210.6399999999</v>
      </c>
      <c r="M50" s="779"/>
      <c r="N50" s="162"/>
      <c r="Q50" s="291"/>
    </row>
    <row r="51" spans="1:17" ht="15" x14ac:dyDescent="0.2">
      <c r="A51" s="124" t="s">
        <v>17</v>
      </c>
      <c r="H51" s="690"/>
      <c r="I51" s="722"/>
      <c r="J51" s="461"/>
      <c r="L51" s="690">
        <f>D45+D46</f>
        <v>86560</v>
      </c>
      <c r="M51" s="722"/>
    </row>
    <row r="52" spans="1:17" s="161" customFormat="1" ht="7.5" customHeight="1" x14ac:dyDescent="0.2">
      <c r="A52" s="4"/>
      <c r="B52" s="143"/>
      <c r="C52" s="1"/>
      <c r="D52" s="1"/>
      <c r="E52" s="1"/>
      <c r="F52" s="1"/>
      <c r="G52" s="1"/>
      <c r="H52"/>
      <c r="I52"/>
      <c r="J52"/>
      <c r="K52"/>
      <c r="L52"/>
      <c r="M52"/>
      <c r="O52"/>
    </row>
    <row r="53" spans="1:17" s="161" customFormat="1" ht="17.25" customHeight="1" thickBot="1" x14ac:dyDescent="0.25">
      <c r="A53" s="217"/>
      <c r="B53" s="218" t="s">
        <v>83</v>
      </c>
      <c r="C53" s="196"/>
      <c r="D53" s="1"/>
      <c r="E53" s="1"/>
      <c r="F53" s="1"/>
      <c r="G53" s="1"/>
      <c r="H53"/>
      <c r="I53"/>
      <c r="J53"/>
      <c r="K53"/>
      <c r="L53"/>
      <c r="M53"/>
      <c r="O53"/>
    </row>
    <row r="54" spans="1:17" s="161" customFormat="1" ht="13.5" thickBot="1" x14ac:dyDescent="0.25">
      <c r="A54" s="711"/>
      <c r="B54" s="712"/>
      <c r="C54" s="339" t="s">
        <v>48</v>
      </c>
      <c r="D54" s="92" t="s">
        <v>14</v>
      </c>
      <c r="E54" s="92" t="s">
        <v>72</v>
      </c>
      <c r="F54" s="92" t="s">
        <v>61</v>
      </c>
      <c r="G54" s="92" t="s">
        <v>9</v>
      </c>
      <c r="H54" s="92" t="s">
        <v>47</v>
      </c>
      <c r="I54" s="157" t="s">
        <v>16</v>
      </c>
      <c r="J54" s="163"/>
      <c r="L54"/>
    </row>
    <row r="55" spans="1:17" s="161" customFormat="1" x14ac:dyDescent="0.2">
      <c r="A55" s="713" t="s">
        <v>568</v>
      </c>
      <c r="B55" s="714"/>
      <c r="C55" s="588"/>
      <c r="D55" s="173">
        <v>7752</v>
      </c>
      <c r="E55" s="173"/>
      <c r="F55" s="173"/>
      <c r="G55" s="173"/>
      <c r="H55" s="173"/>
      <c r="I55" s="174"/>
      <c r="J55" s="164"/>
      <c r="L55"/>
    </row>
    <row r="56" spans="1:17" s="161" customFormat="1" x14ac:dyDescent="0.2">
      <c r="A56" s="692" t="s">
        <v>570</v>
      </c>
      <c r="B56" s="701"/>
      <c r="C56" s="590"/>
      <c r="D56" s="168"/>
      <c r="E56" s="168"/>
      <c r="F56" s="168"/>
      <c r="G56" s="168"/>
      <c r="H56" s="168"/>
      <c r="I56" s="120">
        <v>1539</v>
      </c>
      <c r="J56" s="164"/>
      <c r="L56"/>
    </row>
    <row r="57" spans="1:17" s="161" customFormat="1" x14ac:dyDescent="0.2">
      <c r="A57" s="692" t="s">
        <v>585</v>
      </c>
      <c r="B57" s="701"/>
      <c r="C57" s="590"/>
      <c r="D57" s="168"/>
      <c r="E57" s="168"/>
      <c r="F57" s="168">
        <v>8641.2000000000007</v>
      </c>
      <c r="G57" s="168"/>
      <c r="H57" s="168"/>
      <c r="I57" s="120"/>
      <c r="J57" s="164"/>
      <c r="L57"/>
    </row>
    <row r="58" spans="1:17" s="161" customFormat="1" x14ac:dyDescent="0.2">
      <c r="A58" s="692" t="s">
        <v>592</v>
      </c>
      <c r="B58" s="701"/>
      <c r="C58" s="590"/>
      <c r="D58" s="168"/>
      <c r="E58" s="168"/>
      <c r="F58" s="168"/>
      <c r="G58" s="122">
        <v>1824</v>
      </c>
      <c r="H58" s="122"/>
      <c r="I58" s="170"/>
      <c r="J58" s="164"/>
      <c r="L58"/>
    </row>
    <row r="59" spans="1:17" x14ac:dyDescent="0.2">
      <c r="A59" s="692" t="s">
        <v>593</v>
      </c>
      <c r="B59" s="701"/>
      <c r="C59" s="380"/>
      <c r="D59" s="135"/>
      <c r="E59" s="135"/>
      <c r="F59" s="122"/>
      <c r="G59" s="431">
        <v>1482</v>
      </c>
      <c r="H59" s="586"/>
      <c r="I59" s="243"/>
      <c r="J59" s="164"/>
      <c r="K59" s="161"/>
      <c r="N59"/>
    </row>
    <row r="60" spans="1:17" x14ac:dyDescent="0.2">
      <c r="A60" s="692" t="s">
        <v>594</v>
      </c>
      <c r="B60" s="701"/>
      <c r="C60" s="380"/>
      <c r="D60" s="135"/>
      <c r="E60" s="135"/>
      <c r="F60" s="135"/>
      <c r="G60" s="431">
        <v>5700</v>
      </c>
      <c r="H60" s="122"/>
      <c r="I60" s="243"/>
      <c r="J60" s="164"/>
      <c r="K60" s="161"/>
      <c r="N60"/>
    </row>
    <row r="61" spans="1:17" x14ac:dyDescent="0.2">
      <c r="A61" s="692" t="s">
        <v>595</v>
      </c>
      <c r="B61" s="701"/>
      <c r="C61" s="380"/>
      <c r="D61" s="122"/>
      <c r="E61" s="122"/>
      <c r="F61" s="135"/>
      <c r="G61" s="431">
        <v>4788</v>
      </c>
      <c r="H61" s="586"/>
      <c r="I61" s="243"/>
      <c r="J61" s="164"/>
      <c r="K61" s="161"/>
      <c r="N61"/>
    </row>
    <row r="62" spans="1:17" x14ac:dyDescent="0.2">
      <c r="A62" s="692" t="s">
        <v>596</v>
      </c>
      <c r="B62" s="701"/>
      <c r="C62" s="592"/>
      <c r="D62" s="240"/>
      <c r="E62" s="240"/>
      <c r="F62" s="203"/>
      <c r="G62" s="431">
        <v>3545.4</v>
      </c>
      <c r="H62" s="122"/>
      <c r="I62" s="243"/>
      <c r="J62" s="164"/>
      <c r="K62" s="161"/>
      <c r="N62"/>
    </row>
    <row r="63" spans="1:17" x14ac:dyDescent="0.2">
      <c r="A63" s="692" t="s">
        <v>606</v>
      </c>
      <c r="B63" s="701"/>
      <c r="C63" s="592"/>
      <c r="D63" s="240"/>
      <c r="E63" s="240"/>
      <c r="F63" s="203"/>
      <c r="G63" s="586">
        <v>855</v>
      </c>
      <c r="H63" s="586"/>
      <c r="I63" s="243"/>
      <c r="J63" s="164"/>
      <c r="K63" s="595"/>
      <c r="N63"/>
    </row>
    <row r="64" spans="1:17" x14ac:dyDescent="0.2">
      <c r="A64" s="692" t="s">
        <v>608</v>
      </c>
      <c r="B64" s="701"/>
      <c r="C64" s="592">
        <v>5187</v>
      </c>
      <c r="D64" s="240"/>
      <c r="E64" s="240"/>
      <c r="F64" s="203"/>
      <c r="G64" s="449"/>
      <c r="H64" s="135"/>
      <c r="I64" s="243"/>
      <c r="J64" s="164"/>
      <c r="K64" s="161"/>
      <c r="N64"/>
    </row>
    <row r="65" spans="1:15" x14ac:dyDescent="0.2">
      <c r="A65" s="692" t="s">
        <v>609</v>
      </c>
      <c r="B65" s="701"/>
      <c r="C65" s="592"/>
      <c r="D65" s="240">
        <v>7752</v>
      </c>
      <c r="E65" s="240"/>
      <c r="F65" s="203"/>
      <c r="G65" s="449"/>
      <c r="H65" s="449"/>
      <c r="I65" s="243"/>
      <c r="J65" s="164"/>
      <c r="K65" s="161"/>
      <c r="N65"/>
    </row>
    <row r="66" spans="1:15" x14ac:dyDescent="0.2">
      <c r="A66" s="692" t="s">
        <v>612</v>
      </c>
      <c r="B66" s="701"/>
      <c r="C66" s="592"/>
      <c r="D66" s="240"/>
      <c r="E66" s="240"/>
      <c r="F66" s="203"/>
      <c r="G66" s="449"/>
      <c r="H66" s="449">
        <v>2052</v>
      </c>
      <c r="I66" s="243"/>
      <c r="J66" s="164"/>
      <c r="K66" s="596"/>
      <c r="N66"/>
    </row>
    <row r="67" spans="1:15" x14ac:dyDescent="0.2">
      <c r="A67" s="692" t="s">
        <v>630</v>
      </c>
      <c r="B67" s="701"/>
      <c r="C67" s="592"/>
      <c r="D67" s="240"/>
      <c r="E67" s="240"/>
      <c r="F67" s="203">
        <v>2394</v>
      </c>
      <c r="G67" s="449"/>
      <c r="H67" s="449"/>
      <c r="I67" s="243"/>
      <c r="J67" s="164"/>
      <c r="K67" s="596"/>
      <c r="N67"/>
    </row>
    <row r="68" spans="1:15" x14ac:dyDescent="0.2">
      <c r="A68" s="692" t="s">
        <v>640</v>
      </c>
      <c r="B68" s="701"/>
      <c r="C68" s="592"/>
      <c r="D68" s="240"/>
      <c r="E68" s="240">
        <v>14800</v>
      </c>
      <c r="F68" s="203"/>
      <c r="G68" s="449"/>
      <c r="H68" s="449"/>
      <c r="I68" s="243"/>
      <c r="J68" s="164"/>
      <c r="K68" s="597"/>
      <c r="N68"/>
    </row>
    <row r="69" spans="1:15" ht="13.5" thickBot="1" x14ac:dyDescent="0.25">
      <c r="A69" s="697" t="s">
        <v>641</v>
      </c>
      <c r="B69" s="723"/>
      <c r="C69" s="593"/>
      <c r="D69" s="440"/>
      <c r="E69" s="440">
        <v>71760</v>
      </c>
      <c r="F69" s="194"/>
      <c r="G69" s="156"/>
      <c r="H69" s="156"/>
      <c r="I69" s="249"/>
      <c r="J69" s="164"/>
      <c r="K69" s="597"/>
      <c r="N69"/>
    </row>
    <row r="70" spans="1:15" ht="13.5" thickBot="1" x14ac:dyDescent="0.25">
      <c r="C70" s="138">
        <f t="shared" ref="C70:I70" si="1">SUM(C55:C69)</f>
        <v>5187</v>
      </c>
      <c r="D70" s="139">
        <f t="shared" si="1"/>
        <v>15504</v>
      </c>
      <c r="E70" s="139">
        <f t="shared" si="1"/>
        <v>86560</v>
      </c>
      <c r="F70" s="139">
        <f t="shared" si="1"/>
        <v>11035.2</v>
      </c>
      <c r="G70" s="139">
        <f t="shared" si="1"/>
        <v>18194.400000000001</v>
      </c>
      <c r="H70" s="139">
        <f t="shared" si="1"/>
        <v>2052</v>
      </c>
      <c r="I70" s="140">
        <f t="shared" si="1"/>
        <v>1539</v>
      </c>
      <c r="J70" s="164"/>
      <c r="K70" s="699">
        <f>SUM(C70:J70)</f>
        <v>140071.6</v>
      </c>
      <c r="L70" s="700"/>
      <c r="N70"/>
    </row>
    <row r="71" spans="1:15" x14ac:dyDescent="0.2">
      <c r="H71" s="1"/>
      <c r="N71"/>
      <c r="O71" s="161"/>
    </row>
    <row r="72" spans="1:15" s="602" customFormat="1" ht="11.25" x14ac:dyDescent="0.2">
      <c r="A72" s="599"/>
      <c r="B72" s="600"/>
      <c r="C72" s="601">
        <f>C70</f>
        <v>5187</v>
      </c>
      <c r="D72" s="598">
        <f>D70-(D70*0.025)</f>
        <v>15116.4</v>
      </c>
      <c r="E72" s="598">
        <f>E70</f>
        <v>86560</v>
      </c>
      <c r="F72" s="598">
        <f>F70-(F70*0.025)</f>
        <v>10759.320000000002</v>
      </c>
      <c r="I72" s="598">
        <f>I70-(I70*0.025)</f>
        <v>1500.5250000000001</v>
      </c>
      <c r="J72" s="780">
        <f>SUM(C72:I72)</f>
        <v>119123.245</v>
      </c>
      <c r="K72" s="780"/>
      <c r="M72" s="603"/>
    </row>
  </sheetData>
  <mergeCells count="51">
    <mergeCell ref="K70:L70"/>
    <mergeCell ref="A64:B64"/>
    <mergeCell ref="A65:B65"/>
    <mergeCell ref="A60:B60"/>
    <mergeCell ref="A61:B61"/>
    <mergeCell ref="A62:B62"/>
    <mergeCell ref="A63:B63"/>
    <mergeCell ref="A66:B66"/>
    <mergeCell ref="A67:B67"/>
    <mergeCell ref="A68:B68"/>
    <mergeCell ref="A69:B69"/>
    <mergeCell ref="A59:B59"/>
    <mergeCell ref="A58:B58"/>
    <mergeCell ref="A56:B56"/>
    <mergeCell ref="A57:B57"/>
    <mergeCell ref="A48:B48"/>
    <mergeCell ref="A54:B54"/>
    <mergeCell ref="A55:B55"/>
    <mergeCell ref="H48:K49"/>
    <mergeCell ref="C49:D49"/>
    <mergeCell ref="E49:F49"/>
    <mergeCell ref="H34:H35"/>
    <mergeCell ref="A34:A35"/>
    <mergeCell ref="A30:A33"/>
    <mergeCell ref="H30:H33"/>
    <mergeCell ref="I4:K4"/>
    <mergeCell ref="G2:G4"/>
    <mergeCell ref="C3:D3"/>
    <mergeCell ref="E3:F3"/>
    <mergeCell ref="A15:A22"/>
    <mergeCell ref="H15:H22"/>
    <mergeCell ref="A23:A24"/>
    <mergeCell ref="H23:H24"/>
    <mergeCell ref="A25:A29"/>
    <mergeCell ref="H25:H29"/>
    <mergeCell ref="L50:M50"/>
    <mergeCell ref="L51:M51"/>
    <mergeCell ref="J72:K72"/>
    <mergeCell ref="L48:M48"/>
    <mergeCell ref="A5:A8"/>
    <mergeCell ref="H5:H8"/>
    <mergeCell ref="A36:A38"/>
    <mergeCell ref="H36:H38"/>
    <mergeCell ref="A40:A43"/>
    <mergeCell ref="H40:H43"/>
    <mergeCell ref="A45:A46"/>
    <mergeCell ref="H45:H46"/>
    <mergeCell ref="H50:I50"/>
    <mergeCell ref="H51:I51"/>
    <mergeCell ref="A13:A14"/>
    <mergeCell ref="H13:H14"/>
  </mergeCells>
  <printOptions horizontalCentered="1"/>
  <pageMargins left="0.15748031496062992" right="0.15748031496062992" top="0.35433070866141736" bottom="0.55118110236220474" header="0.31496062992125984" footer="0.31496062992125984"/>
  <pageSetup paperSize="9" fitToWidth="0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R55"/>
  <sheetViews>
    <sheetView zoomScaleNormal="100" workbookViewId="0">
      <pane ySplit="4" topLeftCell="A5" activePane="bottomLeft" state="frozenSplit"/>
      <selection pane="bottomLeft" activeCell="M47" sqref="M47"/>
    </sheetView>
  </sheetViews>
  <sheetFormatPr defaultRowHeight="12.75" x14ac:dyDescent="0.2"/>
  <cols>
    <col min="1" max="1" width="3" style="245" customWidth="1"/>
    <col min="2" max="2" width="6.42578125" style="143" customWidth="1"/>
    <col min="3" max="4" width="10.7109375" style="257" customWidth="1"/>
    <col min="5" max="5" width="11.28515625" style="257" customWidth="1"/>
    <col min="6" max="6" width="10.85546875" style="257" customWidth="1"/>
    <col min="7" max="7" width="11.140625" style="1" customWidth="1"/>
    <col min="8" max="8" width="11.140625" style="1" hidden="1" customWidth="1"/>
    <col min="9" max="9" width="11" customWidth="1"/>
    <col min="10" max="11" width="10.42578125" customWidth="1"/>
    <col min="12" max="12" width="6.7109375" customWidth="1"/>
    <col min="13" max="14" width="10.7109375" customWidth="1"/>
    <col min="15" max="15" width="10.7109375" style="161" customWidth="1"/>
    <col min="16" max="16" width="10.7109375" customWidth="1"/>
    <col min="17" max="17" width="14.140625" customWidth="1"/>
    <col min="18" max="18" width="13.28515625" customWidth="1"/>
    <col min="19" max="19" width="13.7109375" customWidth="1"/>
    <col min="20" max="20" width="13.140625" customWidth="1"/>
  </cols>
  <sheetData>
    <row r="1" spans="1:18" ht="15" x14ac:dyDescent="0.25">
      <c r="A1" s="100" t="s">
        <v>100</v>
      </c>
      <c r="C1" s="256"/>
    </row>
    <row r="2" spans="1:18" ht="5.25" customHeight="1" thickBot="1" x14ac:dyDescent="0.25">
      <c r="A2" s="2"/>
      <c r="C2" s="258"/>
      <c r="D2" s="259"/>
      <c r="E2" s="259"/>
      <c r="F2" s="259"/>
      <c r="G2" s="716" t="s">
        <v>476</v>
      </c>
      <c r="H2" s="664"/>
      <c r="I2" s="212"/>
    </row>
    <row r="3" spans="1:18" ht="17.25" customHeight="1" x14ac:dyDescent="0.2">
      <c r="A3" s="2"/>
      <c r="C3" s="743" t="s">
        <v>83</v>
      </c>
      <c r="D3" s="744"/>
      <c r="E3" s="743" t="s">
        <v>82</v>
      </c>
      <c r="F3" s="744"/>
      <c r="G3" s="716"/>
      <c r="H3" s="664"/>
      <c r="I3" s="212"/>
    </row>
    <row r="4" spans="1:18" ht="13.5" thickBot="1" x14ac:dyDescent="0.25">
      <c r="A4" s="367" t="s">
        <v>6</v>
      </c>
      <c r="B4" s="172" t="s">
        <v>18</v>
      </c>
      <c r="C4" s="260" t="s">
        <v>7</v>
      </c>
      <c r="D4" s="261" t="s">
        <v>8</v>
      </c>
      <c r="E4" s="260" t="s">
        <v>86</v>
      </c>
      <c r="F4" s="262" t="s">
        <v>8</v>
      </c>
      <c r="G4" s="717"/>
      <c r="H4" s="665"/>
      <c r="I4" s="244" t="s">
        <v>0</v>
      </c>
      <c r="J4" s="715" t="s">
        <v>19</v>
      </c>
      <c r="K4" s="715"/>
      <c r="L4" s="715"/>
    </row>
    <row r="5" spans="1:18" x14ac:dyDescent="0.2">
      <c r="A5" s="704" t="s">
        <v>184</v>
      </c>
      <c r="B5" s="144" t="s">
        <v>626</v>
      </c>
      <c r="C5" s="117">
        <v>0</v>
      </c>
      <c r="D5" s="118"/>
      <c r="E5" s="376"/>
      <c r="F5" s="182"/>
      <c r="G5" s="377"/>
      <c r="H5" s="668"/>
      <c r="I5" s="789">
        <f>SUM(C5:G17)</f>
        <v>239172</v>
      </c>
      <c r="J5" s="148" t="s">
        <v>627</v>
      </c>
      <c r="K5" s="73"/>
      <c r="L5" s="74"/>
      <c r="M5" s="160" t="s">
        <v>485</v>
      </c>
      <c r="O5" s="227"/>
      <c r="P5" s="293"/>
    </row>
    <row r="6" spans="1:18" x14ac:dyDescent="0.2">
      <c r="A6" s="704"/>
      <c r="B6" s="358" t="s">
        <v>512</v>
      </c>
      <c r="C6" s="190"/>
      <c r="D6" s="327"/>
      <c r="E6" s="190">
        <v>5358</v>
      </c>
      <c r="F6" s="170"/>
      <c r="G6" s="125"/>
      <c r="H6" s="583">
        <f>SUM(C6:G6)/1.14</f>
        <v>4700</v>
      </c>
      <c r="I6" s="789"/>
      <c r="J6" s="148" t="s">
        <v>470</v>
      </c>
      <c r="K6" s="458"/>
      <c r="L6" s="571"/>
      <c r="M6" s="160" t="s">
        <v>149</v>
      </c>
      <c r="O6" s="227">
        <v>42369</v>
      </c>
      <c r="Q6" s="226"/>
    </row>
    <row r="7" spans="1:18" x14ac:dyDescent="0.2">
      <c r="A7" s="704"/>
      <c r="B7" s="288" t="s">
        <v>536</v>
      </c>
      <c r="C7" s="213"/>
      <c r="D7" s="476"/>
      <c r="E7" s="340">
        <v>2052</v>
      </c>
      <c r="F7" s="183"/>
      <c r="G7" s="159"/>
      <c r="H7" s="583">
        <f t="shared" ref="H7:H33" si="0">SUM(C7:G7)/1.14</f>
        <v>1800.0000000000002</v>
      </c>
      <c r="I7" s="789"/>
      <c r="J7" s="230" t="s">
        <v>537</v>
      </c>
      <c r="K7" s="458"/>
      <c r="L7" s="571"/>
      <c r="M7" s="215" t="s">
        <v>254</v>
      </c>
      <c r="O7" s="531" t="s">
        <v>41</v>
      </c>
    </row>
    <row r="8" spans="1:18" x14ac:dyDescent="0.2">
      <c r="A8" s="704"/>
      <c r="B8" s="288" t="s">
        <v>540</v>
      </c>
      <c r="C8" s="213"/>
      <c r="D8" s="476"/>
      <c r="E8" s="213">
        <v>5472</v>
      </c>
      <c r="F8" s="183"/>
      <c r="G8" s="159"/>
      <c r="H8" s="583">
        <f t="shared" si="0"/>
        <v>4800</v>
      </c>
      <c r="I8" s="789"/>
      <c r="J8" s="148" t="s">
        <v>541</v>
      </c>
      <c r="K8" s="458"/>
      <c r="L8" s="571"/>
      <c r="M8" s="160" t="s">
        <v>149</v>
      </c>
      <c r="O8" s="227">
        <v>42398</v>
      </c>
      <c r="P8" s="293" t="s">
        <v>637</v>
      </c>
    </row>
    <row r="9" spans="1:18" x14ac:dyDescent="0.2">
      <c r="A9" s="704"/>
      <c r="B9" s="144" t="s">
        <v>550</v>
      </c>
      <c r="C9" s="117"/>
      <c r="D9" s="476"/>
      <c r="E9" s="213">
        <v>4446</v>
      </c>
      <c r="F9" s="183"/>
      <c r="G9" s="159"/>
      <c r="H9" s="583">
        <f t="shared" si="0"/>
        <v>3900.0000000000005</v>
      </c>
      <c r="I9" s="789"/>
      <c r="J9" s="148" t="s">
        <v>556</v>
      </c>
      <c r="K9" s="458"/>
      <c r="L9" s="571"/>
      <c r="M9" s="160" t="s">
        <v>149</v>
      </c>
      <c r="O9" s="227">
        <v>42402</v>
      </c>
    </row>
    <row r="10" spans="1:18" x14ac:dyDescent="0.2">
      <c r="A10" s="704"/>
      <c r="B10" s="144" t="s">
        <v>551</v>
      </c>
      <c r="C10" s="117"/>
      <c r="D10" s="476"/>
      <c r="E10" s="213">
        <v>16416</v>
      </c>
      <c r="F10" s="183"/>
      <c r="G10" s="159"/>
      <c r="H10" s="583">
        <f t="shared" si="0"/>
        <v>14400.000000000002</v>
      </c>
      <c r="I10" s="789"/>
      <c r="J10" s="148" t="s">
        <v>555</v>
      </c>
      <c r="K10" s="458"/>
      <c r="L10" s="571"/>
      <c r="M10" s="160" t="s">
        <v>125</v>
      </c>
      <c r="O10" s="227">
        <v>42347</v>
      </c>
    </row>
    <row r="11" spans="1:18" x14ac:dyDescent="0.2">
      <c r="A11" s="704"/>
      <c r="B11" s="144" t="s">
        <v>574</v>
      </c>
      <c r="C11" s="213"/>
      <c r="D11" s="182"/>
      <c r="E11" s="213">
        <v>13680</v>
      </c>
      <c r="F11" s="118"/>
      <c r="G11" s="183"/>
      <c r="H11" s="583">
        <f t="shared" si="0"/>
        <v>12000.000000000002</v>
      </c>
      <c r="I11" s="789"/>
      <c r="J11" s="148" t="s">
        <v>580</v>
      </c>
      <c r="K11" s="73"/>
      <c r="L11" s="74"/>
      <c r="M11" s="283" t="s">
        <v>149</v>
      </c>
      <c r="O11" s="227">
        <v>42371</v>
      </c>
      <c r="P11" s="94"/>
    </row>
    <row r="12" spans="1:18" x14ac:dyDescent="0.2">
      <c r="A12" s="704"/>
      <c r="B12" s="288" t="s">
        <v>582</v>
      </c>
      <c r="C12" s="390"/>
      <c r="D12" s="216"/>
      <c r="E12" s="395">
        <v>106362</v>
      </c>
      <c r="F12" s="205"/>
      <c r="G12" s="410"/>
      <c r="H12" s="583">
        <f t="shared" si="0"/>
        <v>93300.000000000015</v>
      </c>
      <c r="I12" s="789"/>
      <c r="J12" s="148" t="s">
        <v>546</v>
      </c>
      <c r="K12" s="73"/>
      <c r="L12" s="74"/>
      <c r="M12" s="160" t="s">
        <v>125</v>
      </c>
      <c r="O12" s="227">
        <v>42409</v>
      </c>
      <c r="P12" s="293"/>
    </row>
    <row r="13" spans="1:18" x14ac:dyDescent="0.2">
      <c r="A13" s="704"/>
      <c r="B13" s="288" t="s">
        <v>583</v>
      </c>
      <c r="C13" s="119"/>
      <c r="D13" s="120"/>
      <c r="E13" s="225">
        <v>19380</v>
      </c>
      <c r="F13" s="168"/>
      <c r="G13" s="130"/>
      <c r="H13" s="583">
        <f t="shared" si="0"/>
        <v>17000</v>
      </c>
      <c r="I13" s="789"/>
      <c r="J13" s="148" t="s">
        <v>546</v>
      </c>
      <c r="K13" s="73"/>
      <c r="L13" s="74"/>
      <c r="M13" s="160" t="s">
        <v>125</v>
      </c>
      <c r="O13" s="227">
        <v>42409</v>
      </c>
      <c r="P13" s="226"/>
      <c r="R13" s="226"/>
    </row>
    <row r="14" spans="1:18" x14ac:dyDescent="0.2">
      <c r="A14" s="704"/>
      <c r="B14" s="144" t="s">
        <v>600</v>
      </c>
      <c r="C14" s="117"/>
      <c r="D14" s="118"/>
      <c r="E14" s="409">
        <v>8208</v>
      </c>
      <c r="F14" s="182"/>
      <c r="G14" s="377"/>
      <c r="H14" s="583">
        <f t="shared" si="0"/>
        <v>7200.0000000000009</v>
      </c>
      <c r="I14" s="789"/>
      <c r="J14" s="148" t="s">
        <v>470</v>
      </c>
      <c r="K14" s="73"/>
      <c r="L14" s="74"/>
      <c r="M14" s="160" t="s">
        <v>149</v>
      </c>
      <c r="O14" s="227">
        <v>42369</v>
      </c>
    </row>
    <row r="15" spans="1:18" x14ac:dyDescent="0.2">
      <c r="A15" s="704"/>
      <c r="B15" s="144" t="s">
        <v>643</v>
      </c>
      <c r="C15" s="117"/>
      <c r="D15" s="118"/>
      <c r="E15" s="409">
        <v>684</v>
      </c>
      <c r="F15" s="182"/>
      <c r="G15" s="377"/>
      <c r="H15" s="583">
        <f t="shared" si="0"/>
        <v>600</v>
      </c>
      <c r="I15" s="789"/>
      <c r="J15" s="67" t="s">
        <v>645</v>
      </c>
      <c r="K15" s="73"/>
      <c r="L15" s="74"/>
      <c r="M15" s="160" t="s">
        <v>149</v>
      </c>
      <c r="O15" s="227">
        <v>42660</v>
      </c>
    </row>
    <row r="16" spans="1:18" x14ac:dyDescent="0.2">
      <c r="A16" s="704"/>
      <c r="B16" s="144" t="s">
        <v>644</v>
      </c>
      <c r="C16" s="117"/>
      <c r="D16" s="118"/>
      <c r="E16" s="376"/>
      <c r="F16" s="182">
        <v>55689</v>
      </c>
      <c r="G16" s="377"/>
      <c r="H16" s="583">
        <f t="shared" si="0"/>
        <v>48850.000000000007</v>
      </c>
      <c r="I16" s="789"/>
      <c r="J16" s="67" t="s">
        <v>601</v>
      </c>
      <c r="K16" s="73"/>
      <c r="L16" s="74"/>
      <c r="M16" s="283" t="s">
        <v>115</v>
      </c>
      <c r="O16" s="227" t="s">
        <v>116</v>
      </c>
    </row>
    <row r="17" spans="1:17" x14ac:dyDescent="0.2">
      <c r="A17" s="703"/>
      <c r="B17" s="145" t="s">
        <v>646</v>
      </c>
      <c r="C17" s="254"/>
      <c r="D17" s="251"/>
      <c r="E17" s="530">
        <v>1425</v>
      </c>
      <c r="F17" s="253"/>
      <c r="G17" s="125"/>
      <c r="H17" s="583">
        <f t="shared" si="0"/>
        <v>1250</v>
      </c>
      <c r="I17" s="790"/>
      <c r="J17" s="67" t="s">
        <v>647</v>
      </c>
      <c r="K17" s="73"/>
      <c r="L17" s="74"/>
      <c r="M17" s="160" t="s">
        <v>149</v>
      </c>
      <c r="O17" s="227">
        <v>42422</v>
      </c>
    </row>
    <row r="18" spans="1:17" x14ac:dyDescent="0.2">
      <c r="A18" s="702" t="s">
        <v>113</v>
      </c>
      <c r="B18" s="389" t="s">
        <v>648</v>
      </c>
      <c r="C18" s="405"/>
      <c r="D18" s="402">
        <v>7045.2</v>
      </c>
      <c r="E18" s="407"/>
      <c r="F18" s="403"/>
      <c r="G18" s="392"/>
      <c r="H18" s="583">
        <f t="shared" si="0"/>
        <v>6180</v>
      </c>
      <c r="I18" s="694">
        <f>SUM(C18:G22)</f>
        <v>22663.200000000001</v>
      </c>
      <c r="J18" s="67" t="s">
        <v>243</v>
      </c>
      <c r="K18" s="73"/>
      <c r="L18" s="74"/>
      <c r="M18" s="283" t="s">
        <v>115</v>
      </c>
      <c r="O18" s="227" t="s">
        <v>116</v>
      </c>
    </row>
    <row r="19" spans="1:17" x14ac:dyDescent="0.2">
      <c r="A19" s="704"/>
      <c r="B19" s="358" t="s">
        <v>650</v>
      </c>
      <c r="C19" s="335"/>
      <c r="D19" s="370">
        <v>7752</v>
      </c>
      <c r="E19" s="371"/>
      <c r="F19" s="372"/>
      <c r="G19" s="373"/>
      <c r="H19" s="583">
        <f t="shared" si="0"/>
        <v>6800.0000000000009</v>
      </c>
      <c r="I19" s="695"/>
      <c r="J19" s="67" t="s">
        <v>651</v>
      </c>
      <c r="K19" s="73"/>
      <c r="L19" s="74"/>
      <c r="M19" s="283" t="s">
        <v>115</v>
      </c>
      <c r="O19" s="227" t="s">
        <v>116</v>
      </c>
    </row>
    <row r="20" spans="1:17" x14ac:dyDescent="0.2">
      <c r="A20" s="704"/>
      <c r="B20" s="358" t="s">
        <v>649</v>
      </c>
      <c r="C20" s="254"/>
      <c r="D20" s="251">
        <v>1710</v>
      </c>
      <c r="E20" s="252"/>
      <c r="F20" s="253"/>
      <c r="G20" s="125"/>
      <c r="H20" s="583">
        <f t="shared" si="0"/>
        <v>1500.0000000000002</v>
      </c>
      <c r="I20" s="695"/>
      <c r="J20" s="67" t="s">
        <v>176</v>
      </c>
      <c r="K20" s="73"/>
      <c r="L20" s="74"/>
      <c r="M20" s="283" t="s">
        <v>115</v>
      </c>
      <c r="O20" s="227" t="s">
        <v>116</v>
      </c>
    </row>
    <row r="21" spans="1:17" x14ac:dyDescent="0.2">
      <c r="A21" s="704"/>
      <c r="B21" s="358" t="s">
        <v>652</v>
      </c>
      <c r="C21" s="405"/>
      <c r="D21" s="402">
        <v>3420</v>
      </c>
      <c r="E21" s="407"/>
      <c r="F21" s="403"/>
      <c r="G21" s="392"/>
      <c r="H21" s="583">
        <f t="shared" si="0"/>
        <v>3000.0000000000005</v>
      </c>
      <c r="I21" s="695"/>
      <c r="J21" s="67" t="s">
        <v>154</v>
      </c>
      <c r="K21" s="73"/>
      <c r="L21" s="74"/>
      <c r="M21" s="283" t="s">
        <v>115</v>
      </c>
      <c r="O21" s="227" t="s">
        <v>116</v>
      </c>
    </row>
    <row r="22" spans="1:17" x14ac:dyDescent="0.2">
      <c r="A22" s="703"/>
      <c r="B22" s="145" t="s">
        <v>654</v>
      </c>
      <c r="C22" s="254"/>
      <c r="D22" s="251"/>
      <c r="E22" s="530">
        <v>2736</v>
      </c>
      <c r="F22" s="253"/>
      <c r="G22" s="125"/>
      <c r="H22" s="583">
        <f t="shared" si="0"/>
        <v>2400</v>
      </c>
      <c r="I22" s="696"/>
      <c r="J22" s="67" t="s">
        <v>653</v>
      </c>
      <c r="K22" s="73"/>
      <c r="L22" s="74"/>
      <c r="M22" s="160" t="s">
        <v>149</v>
      </c>
      <c r="O22" s="227">
        <v>42345</v>
      </c>
    </row>
    <row r="23" spans="1:17" x14ac:dyDescent="0.2">
      <c r="A23" s="702" t="s">
        <v>127</v>
      </c>
      <c r="B23" s="389" t="s">
        <v>655</v>
      </c>
      <c r="C23" s="401"/>
      <c r="D23" s="402">
        <v>1482</v>
      </c>
      <c r="E23" s="407"/>
      <c r="F23" s="403"/>
      <c r="G23" s="392"/>
      <c r="H23" s="583">
        <f t="shared" si="0"/>
        <v>1300</v>
      </c>
      <c r="I23" s="694">
        <f>SUM(C23:G24)</f>
        <v>4446</v>
      </c>
      <c r="J23" s="67" t="s">
        <v>657</v>
      </c>
      <c r="K23" s="73"/>
      <c r="L23" s="74"/>
      <c r="M23" s="160" t="s">
        <v>115</v>
      </c>
      <c r="O23" s="227" t="s">
        <v>116</v>
      </c>
    </row>
    <row r="24" spans="1:17" x14ac:dyDescent="0.2">
      <c r="A24" s="703"/>
      <c r="B24" s="145" t="s">
        <v>656</v>
      </c>
      <c r="C24" s="254"/>
      <c r="D24" s="251">
        <v>2964</v>
      </c>
      <c r="E24" s="252"/>
      <c r="F24" s="253"/>
      <c r="G24" s="125"/>
      <c r="H24" s="583">
        <f t="shared" si="0"/>
        <v>2600</v>
      </c>
      <c r="I24" s="696"/>
      <c r="J24" s="67" t="s">
        <v>657</v>
      </c>
      <c r="K24" s="73"/>
      <c r="L24" s="74"/>
      <c r="M24" s="160" t="s">
        <v>115</v>
      </c>
      <c r="O24" s="227" t="s">
        <v>116</v>
      </c>
    </row>
    <row r="25" spans="1:17" x14ac:dyDescent="0.2">
      <c r="A25" s="184" t="s">
        <v>139</v>
      </c>
      <c r="B25" s="145" t="s">
        <v>659</v>
      </c>
      <c r="C25" s="263">
        <v>16222.2</v>
      </c>
      <c r="D25" s="251"/>
      <c r="E25" s="252"/>
      <c r="F25" s="253"/>
      <c r="G25" s="125"/>
      <c r="H25" s="583">
        <f t="shared" si="0"/>
        <v>14230.000000000002</v>
      </c>
      <c r="I25" s="355">
        <f>SUM(C25:G25)</f>
        <v>16222.2</v>
      </c>
      <c r="J25" s="67" t="s">
        <v>144</v>
      </c>
      <c r="K25" s="73"/>
      <c r="L25" s="74"/>
      <c r="M25" s="160" t="s">
        <v>149</v>
      </c>
      <c r="O25" s="231">
        <v>42401</v>
      </c>
      <c r="P25" s="293"/>
    </row>
    <row r="26" spans="1:17" x14ac:dyDescent="0.2">
      <c r="A26" s="184" t="s">
        <v>146</v>
      </c>
      <c r="B26" s="389" t="s">
        <v>661</v>
      </c>
      <c r="C26" s="406"/>
      <c r="D26" s="402">
        <v>1710</v>
      </c>
      <c r="E26" s="407"/>
      <c r="F26" s="403"/>
      <c r="G26" s="392"/>
      <c r="H26" s="583">
        <f t="shared" si="0"/>
        <v>1500.0000000000002</v>
      </c>
      <c r="I26" s="355">
        <f>SUM(C26:G26)</f>
        <v>1710</v>
      </c>
      <c r="J26" s="67" t="s">
        <v>372</v>
      </c>
      <c r="K26" s="73"/>
      <c r="L26" s="74"/>
      <c r="M26" s="160" t="s">
        <v>115</v>
      </c>
      <c r="O26" s="227" t="s">
        <v>116</v>
      </c>
      <c r="P26" s="293"/>
    </row>
    <row r="27" spans="1:17" x14ac:dyDescent="0.2">
      <c r="A27" s="184" t="s">
        <v>294</v>
      </c>
      <c r="B27" s="145" t="s">
        <v>660</v>
      </c>
      <c r="C27" s="263"/>
      <c r="D27" s="251">
        <v>6156</v>
      </c>
      <c r="E27" s="252"/>
      <c r="F27" s="253"/>
      <c r="G27" s="125"/>
      <c r="H27" s="583">
        <f t="shared" si="0"/>
        <v>5400.0000000000009</v>
      </c>
      <c r="I27" s="355">
        <f>SUM(C27:G27)</f>
        <v>6156</v>
      </c>
      <c r="J27" s="67" t="s">
        <v>114</v>
      </c>
      <c r="K27" s="73"/>
      <c r="L27" s="74"/>
      <c r="M27" s="160" t="s">
        <v>115</v>
      </c>
      <c r="O27" s="227" t="s">
        <v>116</v>
      </c>
    </row>
    <row r="28" spans="1:17" x14ac:dyDescent="0.2">
      <c r="A28" s="184" t="s">
        <v>195</v>
      </c>
      <c r="B28" s="389" t="s">
        <v>662</v>
      </c>
      <c r="C28" s="401">
        <v>9929.4</v>
      </c>
      <c r="D28" s="402"/>
      <c r="E28" s="407"/>
      <c r="F28" s="403"/>
      <c r="G28" s="392"/>
      <c r="H28" s="583">
        <f t="shared" si="0"/>
        <v>8710</v>
      </c>
      <c r="I28" s="355">
        <f>SUM(C28:G28)</f>
        <v>9929.4</v>
      </c>
      <c r="J28" s="67" t="s">
        <v>204</v>
      </c>
      <c r="K28" s="73"/>
      <c r="L28" s="74"/>
      <c r="M28" s="160" t="s">
        <v>125</v>
      </c>
      <c r="O28" s="227">
        <v>42353</v>
      </c>
    </row>
    <row r="29" spans="1:17" x14ac:dyDescent="0.2">
      <c r="A29" s="702" t="s">
        <v>152</v>
      </c>
      <c r="B29" s="288" t="s">
        <v>663</v>
      </c>
      <c r="C29" s="263"/>
      <c r="D29" s="251"/>
      <c r="E29" s="530">
        <v>136800</v>
      </c>
      <c r="F29" s="253"/>
      <c r="G29" s="125"/>
      <c r="H29" s="583">
        <f t="shared" si="0"/>
        <v>120000.00000000001</v>
      </c>
      <c r="I29" s="694">
        <f>SUM(C29:G33)</f>
        <v>159030</v>
      </c>
      <c r="J29" s="67" t="s">
        <v>664</v>
      </c>
      <c r="K29" s="73"/>
      <c r="L29" s="74"/>
      <c r="M29" s="160" t="s">
        <v>149</v>
      </c>
      <c r="O29" s="231">
        <v>42382</v>
      </c>
    </row>
    <row r="30" spans="1:17" x14ac:dyDescent="0.2">
      <c r="A30" s="704"/>
      <c r="B30" s="288" t="s">
        <v>666</v>
      </c>
      <c r="C30" s="420"/>
      <c r="D30" s="251"/>
      <c r="E30" s="530">
        <v>2736</v>
      </c>
      <c r="F30" s="253"/>
      <c r="G30" s="125"/>
      <c r="H30" s="583">
        <f t="shared" si="0"/>
        <v>2400</v>
      </c>
      <c r="I30" s="695"/>
      <c r="J30" s="67" t="s">
        <v>428</v>
      </c>
      <c r="K30" s="73"/>
      <c r="L30" s="74"/>
      <c r="M30" s="160" t="s">
        <v>125</v>
      </c>
      <c r="O30" s="231">
        <v>42613</v>
      </c>
      <c r="Q30" s="226"/>
    </row>
    <row r="31" spans="1:17" x14ac:dyDescent="0.2">
      <c r="A31" s="704"/>
      <c r="B31" s="618" t="s">
        <v>667</v>
      </c>
      <c r="C31" s="420"/>
      <c r="D31" s="251">
        <v>7866</v>
      </c>
      <c r="E31" s="252"/>
      <c r="F31" s="253"/>
      <c r="G31" s="125"/>
      <c r="H31" s="583">
        <f t="shared" si="0"/>
        <v>6900.0000000000009</v>
      </c>
      <c r="I31" s="695"/>
      <c r="J31" s="67" t="s">
        <v>372</v>
      </c>
      <c r="K31" s="73"/>
      <c r="L31" s="74"/>
      <c r="M31" s="160" t="s">
        <v>115</v>
      </c>
      <c r="O31" s="227" t="s">
        <v>116</v>
      </c>
    </row>
    <row r="32" spans="1:17" x14ac:dyDescent="0.2">
      <c r="A32" s="704"/>
      <c r="B32" s="618" t="s">
        <v>670</v>
      </c>
      <c r="C32" s="420"/>
      <c r="D32" s="251"/>
      <c r="E32" s="252"/>
      <c r="F32" s="253"/>
      <c r="G32" s="125">
        <v>912</v>
      </c>
      <c r="H32" s="583">
        <f t="shared" si="0"/>
        <v>800.00000000000011</v>
      </c>
      <c r="I32" s="695"/>
      <c r="J32" s="67" t="s">
        <v>336</v>
      </c>
      <c r="K32" s="73"/>
      <c r="L32" s="74"/>
      <c r="M32" s="160" t="s">
        <v>115</v>
      </c>
      <c r="O32" s="227" t="s">
        <v>116</v>
      </c>
    </row>
    <row r="33" spans="1:16" ht="13.5" thickBot="1" x14ac:dyDescent="0.25">
      <c r="A33" s="792"/>
      <c r="B33" s="466" t="s">
        <v>668</v>
      </c>
      <c r="C33" s="420"/>
      <c r="D33" s="251">
        <v>10716</v>
      </c>
      <c r="E33" s="252"/>
      <c r="F33" s="253"/>
      <c r="G33" s="125"/>
      <c r="H33" s="583">
        <f t="shared" si="0"/>
        <v>9400</v>
      </c>
      <c r="I33" s="767"/>
      <c r="J33" s="67" t="s">
        <v>372</v>
      </c>
      <c r="K33" s="73"/>
      <c r="L33" s="74"/>
      <c r="M33" s="160" t="s">
        <v>115</v>
      </c>
      <c r="O33" s="227" t="s">
        <v>116</v>
      </c>
    </row>
    <row r="34" spans="1:16" s="13" customFormat="1" ht="14.25" thickTop="1" thickBot="1" x14ac:dyDescent="0.25">
      <c r="A34" s="791"/>
      <c r="B34" s="791"/>
      <c r="C34" s="264">
        <f t="shared" ref="C34:I34" si="1">SUM(C5:C33)</f>
        <v>26151.599999999999</v>
      </c>
      <c r="D34" s="264">
        <f t="shared" si="1"/>
        <v>50821.2</v>
      </c>
      <c r="E34" s="264">
        <f t="shared" si="1"/>
        <v>325755</v>
      </c>
      <c r="F34" s="264">
        <f t="shared" si="1"/>
        <v>55689</v>
      </c>
      <c r="G34" s="264">
        <f t="shared" si="1"/>
        <v>912</v>
      </c>
      <c r="H34" s="669"/>
      <c r="I34" s="706">
        <f t="shared" si="1"/>
        <v>459328.80000000005</v>
      </c>
      <c r="J34" s="707"/>
      <c r="K34" s="707"/>
      <c r="L34" s="707"/>
      <c r="M34" s="128">
        <f>SUM(C34:G34)</f>
        <v>459328.8</v>
      </c>
      <c r="N34" s="128"/>
      <c r="O34" s="162"/>
    </row>
    <row r="35" spans="1:16" s="13" customFormat="1" ht="15" customHeight="1" x14ac:dyDescent="0.2">
      <c r="A35" s="99"/>
      <c r="B35" s="146"/>
      <c r="C35" s="745">
        <f>SUM(C34:D34)</f>
        <v>76972.799999999988</v>
      </c>
      <c r="D35" s="746"/>
      <c r="E35" s="747">
        <f>SUM(E34:F34)</f>
        <v>381444</v>
      </c>
      <c r="F35" s="748"/>
      <c r="G35" s="127">
        <f>SUM(G34)</f>
        <v>912</v>
      </c>
      <c r="H35" s="581"/>
      <c r="I35" s="706"/>
      <c r="J35" s="706"/>
      <c r="K35" s="706"/>
      <c r="L35" s="706"/>
      <c r="M35" s="128">
        <f>SUM(C35:G35)</f>
        <v>459328.8</v>
      </c>
      <c r="N35" s="128"/>
      <c r="O35" s="162"/>
    </row>
    <row r="36" spans="1:16" s="13" customFormat="1" x14ac:dyDescent="0.2">
      <c r="A36" s="99"/>
      <c r="B36" s="146"/>
      <c r="C36" s="265"/>
      <c r="D36" s="265"/>
      <c r="E36" s="265"/>
      <c r="F36" s="265"/>
      <c r="G36" s="9"/>
      <c r="H36" s="9"/>
      <c r="I36" s="14"/>
      <c r="J36" s="740"/>
      <c r="K36" s="740"/>
      <c r="M36" s="8"/>
      <c r="N36" s="8"/>
      <c r="O36" s="162"/>
    </row>
    <row r="37" spans="1:16" x14ac:dyDescent="0.2">
      <c r="J37" s="690"/>
      <c r="K37" s="722"/>
    </row>
    <row r="38" spans="1:16" ht="15" x14ac:dyDescent="0.2">
      <c r="A38" s="124" t="s">
        <v>17</v>
      </c>
      <c r="J38" s="781"/>
      <c r="K38" s="782"/>
    </row>
    <row r="39" spans="1:16" s="161" customFormat="1" ht="7.5" customHeight="1" x14ac:dyDescent="0.2">
      <c r="A39" s="4"/>
      <c r="B39" s="143"/>
      <c r="C39" s="257"/>
      <c r="D39" s="257"/>
      <c r="E39" s="257"/>
      <c r="F39" s="257"/>
      <c r="G39" s="1"/>
      <c r="H39" s="1"/>
      <c r="I39"/>
      <c r="J39"/>
      <c r="K39"/>
      <c r="L39"/>
      <c r="M39"/>
      <c r="N39"/>
      <c r="P39"/>
    </row>
    <row r="40" spans="1:16" s="161" customFormat="1" ht="17.25" customHeight="1" thickBot="1" x14ac:dyDescent="0.25">
      <c r="A40" s="217"/>
      <c r="B40" s="218" t="s">
        <v>83</v>
      </c>
      <c r="C40" s="266"/>
      <c r="D40" s="257"/>
      <c r="E40" s="257"/>
      <c r="F40" s="257"/>
      <c r="G40" s="1"/>
      <c r="H40" s="1"/>
      <c r="I40"/>
      <c r="J40"/>
      <c r="K40"/>
      <c r="L40"/>
      <c r="M40"/>
      <c r="N40"/>
      <c r="P40"/>
    </row>
    <row r="41" spans="1:16" s="161" customFormat="1" ht="13.5" thickBot="1" x14ac:dyDescent="0.25">
      <c r="A41" s="711"/>
      <c r="B41" s="712"/>
      <c r="C41" s="93" t="s">
        <v>658</v>
      </c>
      <c r="D41" s="284" t="s">
        <v>48</v>
      </c>
      <c r="E41" s="587" t="s">
        <v>13</v>
      </c>
      <c r="F41" s="284" t="s">
        <v>14</v>
      </c>
      <c r="G41" s="459" t="s">
        <v>61</v>
      </c>
      <c r="H41" s="459"/>
      <c r="I41" s="459" t="s">
        <v>9</v>
      </c>
      <c r="J41" s="157" t="s">
        <v>16</v>
      </c>
      <c r="L41"/>
    </row>
    <row r="42" spans="1:16" s="605" customFormat="1" ht="12" x14ac:dyDescent="0.2">
      <c r="A42" s="787" t="s">
        <v>648</v>
      </c>
      <c r="B42" s="788"/>
      <c r="C42" s="445"/>
      <c r="D42" s="607"/>
      <c r="E42" s="608">
        <v>7045.2</v>
      </c>
      <c r="F42" s="607"/>
      <c r="G42" s="609"/>
      <c r="H42" s="609"/>
      <c r="I42" s="609"/>
      <c r="J42" s="610"/>
      <c r="L42" s="606"/>
    </row>
    <row r="43" spans="1:16" s="605" customFormat="1" ht="12" x14ac:dyDescent="0.2">
      <c r="A43" s="783" t="s">
        <v>650</v>
      </c>
      <c r="B43" s="784"/>
      <c r="C43" s="611"/>
      <c r="D43" s="612"/>
      <c r="E43" s="612"/>
      <c r="F43" s="612">
        <v>7752</v>
      </c>
      <c r="G43" s="613"/>
      <c r="H43" s="613"/>
      <c r="I43" s="613"/>
      <c r="J43" s="614"/>
      <c r="L43" s="606"/>
    </row>
    <row r="44" spans="1:16" s="605" customFormat="1" ht="12" x14ac:dyDescent="0.2">
      <c r="A44" s="783" t="s">
        <v>649</v>
      </c>
      <c r="B44" s="784"/>
      <c r="C44" s="611"/>
      <c r="D44" s="612">
        <v>1710</v>
      </c>
      <c r="E44" s="612"/>
      <c r="F44" s="612"/>
      <c r="G44" s="613"/>
      <c r="H44" s="613"/>
      <c r="I44" s="613"/>
      <c r="J44" s="614"/>
      <c r="L44" s="606"/>
    </row>
    <row r="45" spans="1:16" s="605" customFormat="1" ht="12" x14ac:dyDescent="0.2">
      <c r="A45" s="783" t="s">
        <v>652</v>
      </c>
      <c r="B45" s="784"/>
      <c r="C45" s="611"/>
      <c r="D45" s="612"/>
      <c r="E45" s="612"/>
      <c r="F45" s="612"/>
      <c r="G45" s="613"/>
      <c r="H45" s="613"/>
      <c r="I45" s="613"/>
      <c r="J45" s="614">
        <v>3420</v>
      </c>
      <c r="L45" s="606"/>
    </row>
    <row r="46" spans="1:16" s="605" customFormat="1" ht="12" x14ac:dyDescent="0.2">
      <c r="A46" s="783" t="s">
        <v>655</v>
      </c>
      <c r="B46" s="784"/>
      <c r="C46" s="611">
        <v>1482</v>
      </c>
      <c r="D46" s="612"/>
      <c r="E46" s="612"/>
      <c r="F46" s="612"/>
      <c r="G46" s="613"/>
      <c r="H46" s="613"/>
      <c r="I46" s="613"/>
      <c r="J46" s="614"/>
      <c r="L46" s="606"/>
    </row>
    <row r="47" spans="1:16" s="605" customFormat="1" ht="12" x14ac:dyDescent="0.2">
      <c r="A47" s="783" t="s">
        <v>656</v>
      </c>
      <c r="B47" s="784"/>
      <c r="C47" s="611">
        <v>2964</v>
      </c>
      <c r="D47" s="612"/>
      <c r="E47" s="612"/>
      <c r="F47" s="612"/>
      <c r="G47" s="613"/>
      <c r="H47" s="613"/>
      <c r="I47" s="613"/>
      <c r="J47" s="614"/>
      <c r="L47" s="606"/>
    </row>
    <row r="48" spans="1:16" s="605" customFormat="1" ht="12" x14ac:dyDescent="0.2">
      <c r="A48" s="783" t="s">
        <v>661</v>
      </c>
      <c r="B48" s="784"/>
      <c r="C48" s="615"/>
      <c r="D48" s="616"/>
      <c r="E48" s="616"/>
      <c r="F48" s="616"/>
      <c r="G48" s="613">
        <v>1710</v>
      </c>
      <c r="H48" s="613"/>
      <c r="I48" s="613"/>
      <c r="J48" s="614"/>
      <c r="L48" s="606"/>
    </row>
    <row r="49" spans="1:16" s="605" customFormat="1" ht="12" x14ac:dyDescent="0.2">
      <c r="A49" s="783" t="s">
        <v>660</v>
      </c>
      <c r="B49" s="784"/>
      <c r="C49" s="615"/>
      <c r="D49" s="616"/>
      <c r="E49" s="616"/>
      <c r="F49" s="616"/>
      <c r="G49" s="613"/>
      <c r="H49" s="613"/>
      <c r="I49" s="613">
        <v>6156</v>
      </c>
      <c r="J49" s="614"/>
      <c r="L49" s="606"/>
    </row>
    <row r="50" spans="1:16" s="605" customFormat="1" ht="12" x14ac:dyDescent="0.2">
      <c r="A50" s="783" t="s">
        <v>667</v>
      </c>
      <c r="B50" s="784"/>
      <c r="C50" s="615"/>
      <c r="D50" s="616"/>
      <c r="E50" s="616"/>
      <c r="F50" s="616"/>
      <c r="G50" s="613">
        <v>7866</v>
      </c>
      <c r="H50" s="613"/>
      <c r="I50" s="613"/>
      <c r="J50" s="614"/>
      <c r="L50" s="606"/>
    </row>
    <row r="51" spans="1:16" s="605" customFormat="1" thickBot="1" x14ac:dyDescent="0.25">
      <c r="A51" s="785" t="s">
        <v>668</v>
      </c>
      <c r="B51" s="786"/>
      <c r="C51" s="619"/>
      <c r="D51" s="620"/>
      <c r="E51" s="620"/>
      <c r="F51" s="620"/>
      <c r="G51" s="617">
        <v>10716</v>
      </c>
      <c r="H51" s="617"/>
      <c r="I51" s="617"/>
      <c r="J51" s="621"/>
      <c r="L51" s="606"/>
    </row>
    <row r="52" spans="1:16" ht="13.5" thickBot="1" x14ac:dyDescent="0.25">
      <c r="C52" s="281">
        <f>SUM(C43:C51)</f>
        <v>4446</v>
      </c>
      <c r="D52" s="360">
        <f>SUM(D43:D51)</f>
        <v>1710</v>
      </c>
      <c r="E52" s="360">
        <f>SUM(E42:E51)</f>
        <v>7045.2</v>
      </c>
      <c r="F52" s="360">
        <f>SUM(F43:F51)</f>
        <v>7752</v>
      </c>
      <c r="G52" s="187">
        <f>SUM(G42:G51)</f>
        <v>20292</v>
      </c>
      <c r="H52" s="187"/>
      <c r="I52" s="187">
        <f>SUM(I42:I51)</f>
        <v>6156</v>
      </c>
      <c r="J52" s="247">
        <f>SUM(J42:J51)</f>
        <v>3420</v>
      </c>
      <c r="K52" s="699">
        <f>SUM(C52:J52)</f>
        <v>50821.2</v>
      </c>
      <c r="L52" s="700"/>
      <c r="O52"/>
    </row>
    <row r="53" spans="1:16" x14ac:dyDescent="0.2">
      <c r="I53" s="1"/>
      <c r="O53"/>
      <c r="P53" s="161"/>
    </row>
    <row r="54" spans="1:16" s="602" customFormat="1" ht="11.25" x14ac:dyDescent="0.2">
      <c r="A54" s="599"/>
      <c r="B54" s="600"/>
      <c r="C54" s="623"/>
      <c r="D54" s="623">
        <f>D52</f>
        <v>1710</v>
      </c>
      <c r="E54" s="601">
        <f>E52</f>
        <v>7045.2</v>
      </c>
      <c r="F54" s="623">
        <f>F52</f>
        <v>7752</v>
      </c>
      <c r="G54" s="601">
        <f>G52-(G52*0.025)</f>
        <v>19784.7</v>
      </c>
      <c r="H54" s="601"/>
      <c r="I54" s="601">
        <f>I52-(I52*0.0025)</f>
        <v>6140.61</v>
      </c>
      <c r="J54" s="601">
        <f>J52-(J52*0.025)</f>
        <v>3334.5</v>
      </c>
      <c r="K54" s="598">
        <f>D54+F54+I54</f>
        <v>15602.61</v>
      </c>
      <c r="O54" s="603"/>
    </row>
    <row r="55" spans="1:16" x14ac:dyDescent="0.2">
      <c r="E55" s="626" t="s">
        <v>222</v>
      </c>
      <c r="G55" s="627">
        <v>18117.45</v>
      </c>
      <c r="H55" s="627"/>
      <c r="J55" s="626" t="s">
        <v>222</v>
      </c>
    </row>
  </sheetData>
  <mergeCells count="31">
    <mergeCell ref="A18:A22"/>
    <mergeCell ref="I18:I22"/>
    <mergeCell ref="A23:A24"/>
    <mergeCell ref="I23:I24"/>
    <mergeCell ref="A29:A33"/>
    <mergeCell ref="I29:I33"/>
    <mergeCell ref="I34:L35"/>
    <mergeCell ref="C35:D35"/>
    <mergeCell ref="E35:F35"/>
    <mergeCell ref="A41:B41"/>
    <mergeCell ref="A34:B34"/>
    <mergeCell ref="A5:A17"/>
    <mergeCell ref="I5:I17"/>
    <mergeCell ref="J4:L4"/>
    <mergeCell ref="G2:G4"/>
    <mergeCell ref="C3:D3"/>
    <mergeCell ref="E3:F3"/>
    <mergeCell ref="K52:L52"/>
    <mergeCell ref="J36:K36"/>
    <mergeCell ref="J37:K37"/>
    <mergeCell ref="J38:K38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42:B42"/>
  </mergeCells>
  <printOptions horizontalCentered="1"/>
  <pageMargins left="0.15748031496062992" right="0.15748031496062992" top="0.15748031496062992" bottom="0.35433070866141736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R45"/>
  <sheetViews>
    <sheetView zoomScaleNormal="100" workbookViewId="0">
      <pane ySplit="4" topLeftCell="A5" activePane="bottomLeft" state="frozenSplit"/>
      <selection pane="bottomLeft" activeCell="I23" sqref="I23"/>
    </sheetView>
  </sheetViews>
  <sheetFormatPr defaultRowHeight="12.75" x14ac:dyDescent="0.2"/>
  <cols>
    <col min="1" max="1" width="2.42578125" style="490" customWidth="1"/>
    <col min="2" max="2" width="6.42578125" style="143" customWidth="1"/>
    <col min="3" max="4" width="10.7109375" style="196" customWidth="1"/>
    <col min="5" max="5" width="11.28515625" style="196" customWidth="1"/>
    <col min="6" max="6" width="10.42578125" style="196" customWidth="1"/>
    <col min="7" max="7" width="10" style="196" customWidth="1"/>
    <col min="8" max="8" width="10" style="196" hidden="1" customWidth="1"/>
    <col min="9" max="9" width="10.7109375" style="266" customWidth="1"/>
    <col min="10" max="10" width="11" style="160" customWidth="1"/>
    <col min="11" max="11" width="10.42578125" style="160" customWidth="1"/>
    <col min="12" max="12" width="9" style="160" customWidth="1"/>
    <col min="13" max="13" width="10.42578125" style="160" customWidth="1"/>
    <col min="14" max="15" width="10.7109375" style="160" customWidth="1"/>
    <col min="16" max="16" width="13.85546875" style="489" customWidth="1"/>
    <col min="17" max="17" width="10.7109375" style="160" customWidth="1"/>
    <col min="18" max="18" width="14.140625" style="160" customWidth="1"/>
    <col min="19" max="19" width="13.28515625" style="160" customWidth="1"/>
    <col min="20" max="20" width="13.7109375" style="160" customWidth="1"/>
    <col min="21" max="21" width="13.140625" style="160" customWidth="1"/>
    <col min="22" max="16384" width="9.140625" style="160"/>
  </cols>
  <sheetData>
    <row r="1" spans="1:16" ht="15" x14ac:dyDescent="0.25">
      <c r="A1" s="100" t="s">
        <v>99</v>
      </c>
      <c r="C1" s="483"/>
    </row>
    <row r="2" spans="1:16" ht="9.75" customHeight="1" thickBot="1" x14ac:dyDescent="0.25">
      <c r="A2" s="2"/>
      <c r="C2" s="484"/>
      <c r="D2" s="485"/>
      <c r="E2" s="485"/>
      <c r="F2" s="485"/>
      <c r="G2" s="622"/>
      <c r="H2" s="622"/>
      <c r="I2" s="285"/>
      <c r="J2" s="486"/>
    </row>
    <row r="3" spans="1:16" ht="17.25" customHeight="1" x14ac:dyDescent="0.2">
      <c r="A3" s="2"/>
      <c r="C3" s="718" t="s">
        <v>83</v>
      </c>
      <c r="D3" s="719"/>
      <c r="E3" s="718" t="s">
        <v>82</v>
      </c>
      <c r="F3" s="719"/>
      <c r="G3" s="796" t="s">
        <v>476</v>
      </c>
      <c r="H3" s="666"/>
      <c r="I3" s="794" t="s">
        <v>0</v>
      </c>
      <c r="J3" s="486"/>
    </row>
    <row r="4" spans="1:16" ht="13.5" thickBot="1" x14ac:dyDescent="0.25">
      <c r="A4" s="367" t="s">
        <v>6</v>
      </c>
      <c r="B4" s="172" t="s">
        <v>18</v>
      </c>
      <c r="C4" s="113" t="s">
        <v>7</v>
      </c>
      <c r="D4" s="211" t="s">
        <v>8</v>
      </c>
      <c r="E4" s="113" t="s">
        <v>86</v>
      </c>
      <c r="F4" s="114" t="s">
        <v>8</v>
      </c>
      <c r="G4" s="797"/>
      <c r="H4" s="667"/>
      <c r="I4" s="795"/>
      <c r="J4" s="715" t="s">
        <v>19</v>
      </c>
      <c r="K4" s="715"/>
      <c r="L4" s="715"/>
      <c r="M4" s="400"/>
    </row>
    <row r="5" spans="1:16" x14ac:dyDescent="0.2">
      <c r="A5" s="735" t="s">
        <v>146</v>
      </c>
      <c r="B5" s="288" t="s">
        <v>669</v>
      </c>
      <c r="C5" s="190">
        <v>2348.4</v>
      </c>
      <c r="D5" s="120"/>
      <c r="E5" s="129"/>
      <c r="F5" s="168"/>
      <c r="G5" s="125"/>
      <c r="H5" s="582">
        <f>SUM(C5:G5)/1.14</f>
        <v>2060.0000000000005</v>
      </c>
      <c r="I5" s="720">
        <f>SUM(C5:G6)</f>
        <v>3260.4</v>
      </c>
      <c r="J5" s="67" t="s">
        <v>455</v>
      </c>
      <c r="K5" s="73"/>
      <c r="L5" s="74"/>
      <c r="M5" s="160" t="s">
        <v>149</v>
      </c>
      <c r="O5" s="227">
        <v>42380</v>
      </c>
      <c r="P5" s="228"/>
    </row>
    <row r="6" spans="1:16" x14ac:dyDescent="0.2">
      <c r="A6" s="736"/>
      <c r="B6" s="393" t="s">
        <v>671</v>
      </c>
      <c r="C6" s="390"/>
      <c r="D6" s="216"/>
      <c r="E6" s="399"/>
      <c r="F6" s="205"/>
      <c r="G6" s="392">
        <v>912</v>
      </c>
      <c r="H6" s="583">
        <f t="shared" ref="H6:H20" si="0">SUM(C6:G6)/1.14</f>
        <v>800.00000000000011</v>
      </c>
      <c r="I6" s="696"/>
      <c r="J6" s="67" t="s">
        <v>336</v>
      </c>
      <c r="K6" s="73"/>
      <c r="L6" s="74"/>
      <c r="M6" s="160" t="s">
        <v>115</v>
      </c>
      <c r="O6" s="227" t="s">
        <v>116</v>
      </c>
      <c r="P6" s="228"/>
    </row>
    <row r="7" spans="1:16" x14ac:dyDescent="0.2">
      <c r="A7" s="702" t="s">
        <v>150</v>
      </c>
      <c r="B7" s="288" t="s">
        <v>672</v>
      </c>
      <c r="C7" s="119"/>
      <c r="D7" s="120">
        <v>1710</v>
      </c>
      <c r="E7" s="222"/>
      <c r="F7" s="168"/>
      <c r="G7" s="125"/>
      <c r="H7" s="583">
        <f t="shared" si="0"/>
        <v>1500.0000000000002</v>
      </c>
      <c r="I7" s="694">
        <f>SUM(C7:G8)</f>
        <v>4674</v>
      </c>
      <c r="J7" s="67" t="s">
        <v>176</v>
      </c>
      <c r="K7" s="73"/>
      <c r="L7" s="74"/>
      <c r="M7" s="160" t="s">
        <v>115</v>
      </c>
      <c r="O7" s="227" t="s">
        <v>116</v>
      </c>
      <c r="P7" s="228"/>
    </row>
    <row r="8" spans="1:16" x14ac:dyDescent="0.2">
      <c r="A8" s="703"/>
      <c r="B8" s="393" t="s">
        <v>673</v>
      </c>
      <c r="C8" s="390"/>
      <c r="D8" s="216">
        <v>2964</v>
      </c>
      <c r="E8" s="399"/>
      <c r="F8" s="205"/>
      <c r="G8" s="392"/>
      <c r="H8" s="583">
        <f t="shared" si="0"/>
        <v>2600</v>
      </c>
      <c r="I8" s="696"/>
      <c r="J8" s="67" t="s">
        <v>176</v>
      </c>
      <c r="K8" s="73"/>
      <c r="L8" s="74"/>
      <c r="M8" s="160" t="s">
        <v>115</v>
      </c>
      <c r="O8" s="227" t="s">
        <v>116</v>
      </c>
      <c r="P8" s="228"/>
    </row>
    <row r="9" spans="1:16" x14ac:dyDescent="0.2">
      <c r="A9" s="702" t="s">
        <v>155</v>
      </c>
      <c r="B9" s="288" t="s">
        <v>677</v>
      </c>
      <c r="C9" s="119"/>
      <c r="D9" s="120">
        <v>1265.4000000000001</v>
      </c>
      <c r="E9" s="129"/>
      <c r="F9" s="168"/>
      <c r="G9" s="125"/>
      <c r="H9" s="583">
        <f t="shared" si="0"/>
        <v>1110.0000000000002</v>
      </c>
      <c r="I9" s="694">
        <f>SUM(C9:G11)</f>
        <v>9496.2000000000007</v>
      </c>
      <c r="J9" s="67" t="s">
        <v>382</v>
      </c>
      <c r="K9" s="73"/>
      <c r="L9" s="74"/>
      <c r="M9" s="160" t="s">
        <v>115</v>
      </c>
      <c r="O9" s="227" t="s">
        <v>116</v>
      </c>
      <c r="P9" s="228"/>
    </row>
    <row r="10" spans="1:16" x14ac:dyDescent="0.2">
      <c r="A10" s="704"/>
      <c r="B10" s="288" t="s">
        <v>676</v>
      </c>
      <c r="C10" s="398"/>
      <c r="D10" s="216">
        <v>1390.8</v>
      </c>
      <c r="E10" s="399"/>
      <c r="F10" s="205"/>
      <c r="G10" s="392"/>
      <c r="H10" s="583">
        <f t="shared" si="0"/>
        <v>1220</v>
      </c>
      <c r="I10" s="695"/>
      <c r="J10" s="67" t="s">
        <v>382</v>
      </c>
      <c r="K10" s="73"/>
      <c r="L10" s="74"/>
      <c r="M10" s="160" t="s">
        <v>115</v>
      </c>
      <c r="O10" s="227" t="s">
        <v>116</v>
      </c>
      <c r="P10" s="293"/>
    </row>
    <row r="11" spans="1:16" x14ac:dyDescent="0.2">
      <c r="A11" s="703"/>
      <c r="B11" s="288" t="s">
        <v>678</v>
      </c>
      <c r="C11" s="191"/>
      <c r="D11" s="120">
        <v>6840</v>
      </c>
      <c r="E11" s="129"/>
      <c r="F11" s="168"/>
      <c r="G11" s="125"/>
      <c r="H11" s="583">
        <f t="shared" si="0"/>
        <v>6000.0000000000009</v>
      </c>
      <c r="I11" s="696"/>
      <c r="J11" s="67" t="s">
        <v>154</v>
      </c>
      <c r="K11" s="73"/>
      <c r="L11" s="74"/>
      <c r="M11" s="160" t="s">
        <v>115</v>
      </c>
      <c r="O11" s="227" t="s">
        <v>116</v>
      </c>
      <c r="P11" s="293"/>
    </row>
    <row r="12" spans="1:16" x14ac:dyDescent="0.2">
      <c r="A12" s="702" t="s">
        <v>242</v>
      </c>
      <c r="B12" s="288" t="s">
        <v>679</v>
      </c>
      <c r="C12" s="191"/>
      <c r="D12" s="216">
        <v>6840</v>
      </c>
      <c r="E12" s="129"/>
      <c r="F12" s="168"/>
      <c r="G12" s="125"/>
      <c r="H12" s="583">
        <f t="shared" si="0"/>
        <v>6000.0000000000009</v>
      </c>
      <c r="I12" s="694">
        <f>SUM(C12:G13)</f>
        <v>9433.5</v>
      </c>
      <c r="J12" s="67" t="s">
        <v>177</v>
      </c>
      <c r="K12" s="73"/>
      <c r="L12" s="74"/>
      <c r="M12" s="160" t="s">
        <v>115</v>
      </c>
      <c r="O12" s="227" t="s">
        <v>116</v>
      </c>
      <c r="P12" s="293"/>
    </row>
    <row r="13" spans="1:16" x14ac:dyDescent="0.2">
      <c r="A13" s="703"/>
      <c r="B13" s="288" t="s">
        <v>680</v>
      </c>
      <c r="C13" s="398"/>
      <c r="D13" s="221">
        <v>2593.5</v>
      </c>
      <c r="E13" s="399"/>
      <c r="F13" s="205"/>
      <c r="G13" s="392"/>
      <c r="H13" s="583">
        <f t="shared" si="0"/>
        <v>2275</v>
      </c>
      <c r="I13" s="696"/>
      <c r="J13" s="67" t="s">
        <v>176</v>
      </c>
      <c r="K13" s="73"/>
      <c r="L13" s="74"/>
      <c r="M13" s="160" t="s">
        <v>115</v>
      </c>
      <c r="O13" s="227" t="s">
        <v>116</v>
      </c>
      <c r="P13" s="293"/>
    </row>
    <row r="14" spans="1:16" x14ac:dyDescent="0.2">
      <c r="A14" s="702" t="s">
        <v>206</v>
      </c>
      <c r="B14" s="288" t="s">
        <v>681</v>
      </c>
      <c r="C14" s="191"/>
      <c r="D14" s="120">
        <v>4104</v>
      </c>
      <c r="E14" s="129"/>
      <c r="F14" s="168"/>
      <c r="G14" s="125"/>
      <c r="H14" s="583">
        <f t="shared" si="0"/>
        <v>3600.0000000000005</v>
      </c>
      <c r="I14" s="694">
        <f>SUM(C14:G15)</f>
        <v>8800.7999999999993</v>
      </c>
      <c r="J14" s="67" t="s">
        <v>154</v>
      </c>
      <c r="K14" s="73"/>
      <c r="L14" s="74"/>
      <c r="M14" s="160" t="s">
        <v>115</v>
      </c>
      <c r="O14" s="227" t="s">
        <v>116</v>
      </c>
      <c r="P14" s="293"/>
    </row>
    <row r="15" spans="1:16" x14ac:dyDescent="0.2">
      <c r="A15" s="703"/>
      <c r="B15" s="288" t="s">
        <v>682</v>
      </c>
      <c r="C15" s="191"/>
      <c r="D15" s="120">
        <v>4696.8</v>
      </c>
      <c r="E15" s="129"/>
      <c r="F15" s="168"/>
      <c r="G15" s="125"/>
      <c r="H15" s="583">
        <f t="shared" si="0"/>
        <v>4120.0000000000009</v>
      </c>
      <c r="I15" s="696"/>
      <c r="J15" s="67" t="s">
        <v>372</v>
      </c>
      <c r="K15" s="73"/>
      <c r="L15" s="74"/>
      <c r="M15" s="160" t="s">
        <v>115</v>
      </c>
      <c r="O15" s="227" t="s">
        <v>116</v>
      </c>
      <c r="P15" s="293"/>
    </row>
    <row r="16" spans="1:16" x14ac:dyDescent="0.2">
      <c r="A16" s="702" t="s">
        <v>170</v>
      </c>
      <c r="B16" s="393" t="s">
        <v>685</v>
      </c>
      <c r="C16" s="391">
        <v>2850</v>
      </c>
      <c r="D16" s="118"/>
      <c r="E16" s="399"/>
      <c r="F16" s="205"/>
      <c r="G16" s="392"/>
      <c r="H16" s="583">
        <f t="shared" si="0"/>
        <v>2500</v>
      </c>
      <c r="I16" s="694">
        <f>SUM(C16:G17)</f>
        <v>3420</v>
      </c>
      <c r="J16" s="67" t="s">
        <v>137</v>
      </c>
      <c r="K16" s="73"/>
      <c r="L16" s="74"/>
      <c r="M16" s="160" t="s">
        <v>149</v>
      </c>
      <c r="O16" s="227">
        <v>42390</v>
      </c>
      <c r="P16" s="293"/>
    </row>
    <row r="17" spans="1:17" x14ac:dyDescent="0.2">
      <c r="A17" s="703"/>
      <c r="B17" s="288" t="s">
        <v>686</v>
      </c>
      <c r="C17" s="190">
        <v>570</v>
      </c>
      <c r="D17" s="118"/>
      <c r="E17" s="129"/>
      <c r="F17" s="168"/>
      <c r="G17" s="125"/>
      <c r="H17" s="583">
        <f t="shared" si="0"/>
        <v>500.00000000000006</v>
      </c>
      <c r="I17" s="696"/>
      <c r="J17" s="67" t="s">
        <v>687</v>
      </c>
      <c r="K17" s="73"/>
      <c r="L17" s="74"/>
      <c r="M17" s="160" t="s">
        <v>149</v>
      </c>
      <c r="O17" s="227">
        <v>42396</v>
      </c>
      <c r="P17" s="293"/>
    </row>
    <row r="18" spans="1:17" x14ac:dyDescent="0.2">
      <c r="A18" s="771" t="s">
        <v>181</v>
      </c>
      <c r="B18" s="361" t="s">
        <v>689</v>
      </c>
      <c r="C18" s="340"/>
      <c r="D18" s="118">
        <v>2223</v>
      </c>
      <c r="E18" s="376"/>
      <c r="F18" s="182"/>
      <c r="G18" s="159"/>
      <c r="H18" s="583">
        <f t="shared" si="0"/>
        <v>1950.0000000000002</v>
      </c>
      <c r="I18" s="695">
        <f>SUM(C18:G19)</f>
        <v>6919.8</v>
      </c>
      <c r="J18" s="67" t="s">
        <v>176</v>
      </c>
      <c r="K18" s="73"/>
      <c r="L18" s="74"/>
      <c r="M18" s="160" t="s">
        <v>115</v>
      </c>
      <c r="O18" s="227" t="s">
        <v>116</v>
      </c>
      <c r="P18" s="293"/>
    </row>
    <row r="19" spans="1:17" x14ac:dyDescent="0.2">
      <c r="A19" s="736"/>
      <c r="B19" s="361" t="s">
        <v>690</v>
      </c>
      <c r="C19" s="340"/>
      <c r="D19" s="118">
        <v>4696.8</v>
      </c>
      <c r="E19" s="376"/>
      <c r="F19" s="182"/>
      <c r="G19" s="159"/>
      <c r="H19" s="583">
        <f t="shared" si="0"/>
        <v>4120.0000000000009</v>
      </c>
      <c r="I19" s="696"/>
      <c r="J19" s="67" t="s">
        <v>243</v>
      </c>
      <c r="K19" s="73"/>
      <c r="L19" s="74"/>
      <c r="M19" s="160" t="s">
        <v>115</v>
      </c>
      <c r="O19" s="227" t="s">
        <v>116</v>
      </c>
      <c r="P19" s="293"/>
    </row>
    <row r="20" spans="1:17" ht="13.5" thickBot="1" x14ac:dyDescent="0.25">
      <c r="A20" s="624" t="s">
        <v>251</v>
      </c>
      <c r="B20" s="361" t="s">
        <v>691</v>
      </c>
      <c r="C20" s="340"/>
      <c r="D20" s="118"/>
      <c r="E20" s="409">
        <v>798</v>
      </c>
      <c r="F20" s="182"/>
      <c r="G20" s="159"/>
      <c r="H20" s="583">
        <f t="shared" si="0"/>
        <v>700.00000000000011</v>
      </c>
      <c r="I20" s="355">
        <f>SUM(C20:G20)</f>
        <v>798</v>
      </c>
      <c r="J20" s="67" t="s">
        <v>541</v>
      </c>
      <c r="K20" s="73"/>
      <c r="L20" s="74"/>
      <c r="M20" s="160" t="s">
        <v>149</v>
      </c>
      <c r="O20" s="227">
        <v>42398</v>
      </c>
      <c r="P20" s="574"/>
    </row>
    <row r="21" spans="1:17" ht="14.25" thickTop="1" thickBot="1" x14ac:dyDescent="0.25">
      <c r="A21" s="791"/>
      <c r="B21" s="791"/>
      <c r="C21" s="115">
        <f>SUM(C5:C20)</f>
        <v>5768.4</v>
      </c>
      <c r="D21" s="116">
        <f>SUM(D5:D20)</f>
        <v>39324.300000000003</v>
      </c>
      <c r="E21" s="223">
        <f>SUM(E5:E20)</f>
        <v>798</v>
      </c>
      <c r="F21" s="169">
        <f>SUM(F5:F20)</f>
        <v>0</v>
      </c>
      <c r="G21" s="126">
        <f>SUM(G5:G20)</f>
        <v>912</v>
      </c>
      <c r="H21" s="580"/>
      <c r="I21" s="706">
        <f>SUM(I5:I20)</f>
        <v>46802.7</v>
      </c>
      <c r="J21" s="707"/>
      <c r="K21" s="707"/>
      <c r="L21" s="707"/>
      <c r="M21" s="128">
        <f>SUM(C21:G21)</f>
        <v>46802.700000000004</v>
      </c>
      <c r="N21" s="128"/>
      <c r="O21" s="177"/>
      <c r="P21" s="228"/>
    </row>
    <row r="22" spans="1:17" ht="15" customHeight="1" x14ac:dyDescent="0.2">
      <c r="A22" s="481"/>
      <c r="B22" s="146"/>
      <c r="C22" s="755">
        <f>SUM(C21:D21)</f>
        <v>45092.700000000004</v>
      </c>
      <c r="D22" s="756"/>
      <c r="E22" s="709">
        <f>SUM(E21:F21)</f>
        <v>798</v>
      </c>
      <c r="F22" s="710"/>
      <c r="G22" s="127">
        <f>SUM(G21)</f>
        <v>912</v>
      </c>
      <c r="H22" s="581"/>
      <c r="I22" s="706"/>
      <c r="J22" s="706"/>
      <c r="K22" s="706"/>
      <c r="L22" s="706"/>
      <c r="M22" s="128">
        <f>SUM(C22:G22)</f>
        <v>46802.700000000004</v>
      </c>
      <c r="N22" s="128"/>
      <c r="O22" s="177"/>
      <c r="P22" s="228"/>
    </row>
    <row r="23" spans="1:17" x14ac:dyDescent="0.2">
      <c r="A23" s="481"/>
      <c r="B23" s="146"/>
      <c r="C23" s="9"/>
      <c r="D23" s="9"/>
      <c r="E23" s="9"/>
      <c r="F23" s="9"/>
      <c r="G23" s="9"/>
      <c r="H23" s="9"/>
      <c r="I23" s="14"/>
      <c r="J23" s="793"/>
      <c r="K23" s="793"/>
      <c r="L23" s="802"/>
      <c r="M23" s="782"/>
      <c r="N23" s="8"/>
      <c r="O23" s="177"/>
      <c r="P23" s="228"/>
    </row>
    <row r="24" spans="1:17" x14ac:dyDescent="0.2">
      <c r="J24" s="801"/>
      <c r="K24" s="801"/>
      <c r="L24" s="803"/>
      <c r="M24" s="804"/>
    </row>
    <row r="25" spans="1:17" ht="15" x14ac:dyDescent="0.2">
      <c r="A25" s="124" t="s">
        <v>17</v>
      </c>
      <c r="L25" s="803"/>
      <c r="M25" s="804"/>
    </row>
    <row r="26" spans="1:17" s="177" customFormat="1" ht="7.5" customHeight="1" x14ac:dyDescent="0.2">
      <c r="A26" s="467"/>
      <c r="B26" s="143"/>
      <c r="C26" s="196"/>
      <c r="D26" s="196"/>
      <c r="E26" s="196"/>
      <c r="F26" s="196"/>
      <c r="G26" s="196"/>
      <c r="H26" s="196"/>
      <c r="I26" s="266"/>
      <c r="J26" s="160"/>
      <c r="K26" s="160"/>
      <c r="L26" s="160"/>
      <c r="M26" s="160"/>
      <c r="N26" s="160"/>
      <c r="O26" s="160"/>
      <c r="P26" s="489"/>
      <c r="Q26" s="160"/>
    </row>
    <row r="27" spans="1:17" s="177" customFormat="1" ht="17.25" customHeight="1" thickBot="1" x14ac:dyDescent="0.25">
      <c r="A27" s="468"/>
      <c r="B27" s="218" t="s">
        <v>83</v>
      </c>
      <c r="C27" s="196"/>
      <c r="D27" s="196"/>
      <c r="E27" s="196"/>
      <c r="F27" s="196"/>
      <c r="G27" s="196"/>
      <c r="H27" s="196"/>
      <c r="I27" s="266"/>
      <c r="J27" s="160"/>
      <c r="K27" s="160"/>
      <c r="L27" s="160"/>
      <c r="M27" s="160"/>
      <c r="N27" s="160"/>
      <c r="O27" s="160"/>
      <c r="P27" s="489"/>
      <c r="Q27" s="160"/>
    </row>
    <row r="28" spans="1:17" s="177" customFormat="1" ht="13.5" thickBot="1" x14ac:dyDescent="0.25">
      <c r="A28" s="799"/>
      <c r="B28" s="800"/>
      <c r="C28" s="625" t="s">
        <v>48</v>
      </c>
      <c r="D28" s="246" t="s">
        <v>74</v>
      </c>
      <c r="E28" s="246" t="s">
        <v>684</v>
      </c>
      <c r="F28" s="246" t="s">
        <v>13</v>
      </c>
      <c r="G28" s="246" t="s">
        <v>14</v>
      </c>
      <c r="H28" s="246"/>
      <c r="I28" s="268" t="s">
        <v>61</v>
      </c>
      <c r="J28" s="362" t="s">
        <v>16</v>
      </c>
      <c r="L28" s="160"/>
      <c r="Q28" s="489"/>
    </row>
    <row r="29" spans="1:17" s="177" customFormat="1" x14ac:dyDescent="0.2">
      <c r="A29" s="713" t="s">
        <v>672</v>
      </c>
      <c r="B29" s="798"/>
      <c r="C29" s="473">
        <v>1710</v>
      </c>
      <c r="D29" s="123"/>
      <c r="E29" s="123"/>
      <c r="F29" s="123"/>
      <c r="G29" s="123"/>
      <c r="H29" s="123"/>
      <c r="I29" s="365"/>
      <c r="J29" s="363"/>
      <c r="L29" s="160"/>
      <c r="Q29" s="489"/>
    </row>
    <row r="30" spans="1:17" s="177" customFormat="1" x14ac:dyDescent="0.2">
      <c r="A30" s="692" t="s">
        <v>673</v>
      </c>
      <c r="B30" s="693"/>
      <c r="C30" s="117">
        <v>2964</v>
      </c>
      <c r="D30" s="431"/>
      <c r="E30" s="431"/>
      <c r="F30" s="431"/>
      <c r="G30" s="431"/>
      <c r="H30" s="431"/>
      <c r="I30" s="469"/>
      <c r="J30" s="470"/>
      <c r="L30" s="160"/>
      <c r="Q30" s="489"/>
    </row>
    <row r="31" spans="1:17" s="177" customFormat="1" x14ac:dyDescent="0.2">
      <c r="A31" s="692" t="s">
        <v>677</v>
      </c>
      <c r="B31" s="693"/>
      <c r="C31" s="119"/>
      <c r="D31" s="122">
        <v>1265.4000000000001</v>
      </c>
      <c r="E31" s="122"/>
      <c r="F31" s="122"/>
      <c r="G31" s="122"/>
      <c r="H31" s="122"/>
      <c r="I31" s="366"/>
      <c r="J31" s="286"/>
      <c r="L31" s="160"/>
      <c r="Q31" s="489"/>
    </row>
    <row r="32" spans="1:17" s="177" customFormat="1" x14ac:dyDescent="0.2">
      <c r="A32" s="692" t="s">
        <v>676</v>
      </c>
      <c r="B32" s="693"/>
      <c r="C32" s="119"/>
      <c r="D32" s="122">
        <v>1390.8</v>
      </c>
      <c r="E32" s="122"/>
      <c r="F32" s="122"/>
      <c r="G32" s="122"/>
      <c r="H32" s="122"/>
      <c r="I32" s="366"/>
      <c r="J32" s="286"/>
      <c r="L32" s="160"/>
      <c r="Q32" s="489"/>
    </row>
    <row r="33" spans="1:18" s="177" customFormat="1" x14ac:dyDescent="0.2">
      <c r="A33" s="692" t="s">
        <v>678</v>
      </c>
      <c r="B33" s="693"/>
      <c r="C33" s="119"/>
      <c r="D33" s="122"/>
      <c r="E33" s="122"/>
      <c r="F33" s="122"/>
      <c r="G33" s="122"/>
      <c r="H33" s="122"/>
      <c r="I33" s="366"/>
      <c r="J33" s="286">
        <v>6840</v>
      </c>
      <c r="L33" s="160"/>
      <c r="Q33" s="489"/>
    </row>
    <row r="34" spans="1:18" s="177" customFormat="1" x14ac:dyDescent="0.2">
      <c r="A34" s="692" t="s">
        <v>679</v>
      </c>
      <c r="B34" s="693"/>
      <c r="C34" s="359"/>
      <c r="D34" s="248"/>
      <c r="E34" s="248"/>
      <c r="F34" s="248"/>
      <c r="G34" s="248">
        <v>6840</v>
      </c>
      <c r="H34" s="248"/>
      <c r="I34" s="471"/>
      <c r="J34" s="472"/>
      <c r="L34" s="160"/>
      <c r="Q34" s="489"/>
    </row>
    <row r="35" spans="1:18" s="177" customFormat="1" x14ac:dyDescent="0.2">
      <c r="A35" s="692" t="s">
        <v>680</v>
      </c>
      <c r="B35" s="693"/>
      <c r="C35" s="359">
        <v>2593.5</v>
      </c>
      <c r="D35" s="248"/>
      <c r="E35" s="248"/>
      <c r="F35" s="248"/>
      <c r="G35" s="248"/>
      <c r="H35" s="248"/>
      <c r="I35" s="471"/>
      <c r="J35" s="472"/>
      <c r="L35" s="160"/>
      <c r="Q35" s="489"/>
    </row>
    <row r="36" spans="1:18" s="177" customFormat="1" x14ac:dyDescent="0.2">
      <c r="A36" s="692" t="s">
        <v>681</v>
      </c>
      <c r="B36" s="693"/>
      <c r="C36" s="359"/>
      <c r="D36" s="248"/>
      <c r="E36" s="248"/>
      <c r="F36" s="248"/>
      <c r="G36" s="248"/>
      <c r="H36" s="248"/>
      <c r="I36" s="471"/>
      <c r="J36" s="472">
        <v>4104</v>
      </c>
      <c r="L36" s="160"/>
      <c r="Q36" s="489"/>
    </row>
    <row r="37" spans="1:18" s="177" customFormat="1" x14ac:dyDescent="0.2">
      <c r="A37" s="692" t="s">
        <v>682</v>
      </c>
      <c r="B37" s="693"/>
      <c r="C37" s="359"/>
      <c r="D37" s="248"/>
      <c r="E37" s="248"/>
      <c r="F37" s="248"/>
      <c r="G37" s="248"/>
      <c r="H37" s="248"/>
      <c r="I37" s="471">
        <v>4696.8</v>
      </c>
      <c r="J37" s="472"/>
      <c r="L37" s="160"/>
      <c r="Q37" s="489"/>
    </row>
    <row r="38" spans="1:18" s="177" customFormat="1" x14ac:dyDescent="0.2">
      <c r="A38" s="692" t="s">
        <v>683</v>
      </c>
      <c r="B38" s="693"/>
      <c r="C38" s="359"/>
      <c r="D38" s="248"/>
      <c r="E38" s="248">
        <v>11400</v>
      </c>
      <c r="F38" s="248"/>
      <c r="G38" s="248"/>
      <c r="H38" s="248"/>
      <c r="I38" s="471"/>
      <c r="J38" s="472"/>
      <c r="L38" s="160"/>
      <c r="Q38" s="489"/>
    </row>
    <row r="39" spans="1:18" s="177" customFormat="1" x14ac:dyDescent="0.2">
      <c r="A39" s="692" t="s">
        <v>688</v>
      </c>
      <c r="B39" s="693"/>
      <c r="C39" s="359"/>
      <c r="D39" s="248"/>
      <c r="E39" s="248"/>
      <c r="F39" s="248"/>
      <c r="G39" s="248"/>
      <c r="H39" s="248"/>
      <c r="I39" s="471">
        <v>9120</v>
      </c>
      <c r="J39" s="472"/>
      <c r="L39" s="160"/>
      <c r="Q39" s="489"/>
    </row>
    <row r="40" spans="1:18" s="177" customFormat="1" x14ac:dyDescent="0.2">
      <c r="A40" s="692" t="s">
        <v>689</v>
      </c>
      <c r="B40" s="693"/>
      <c r="C40" s="359">
        <v>2223</v>
      </c>
      <c r="D40" s="248"/>
      <c r="E40" s="248"/>
      <c r="F40" s="248"/>
      <c r="G40" s="248"/>
      <c r="H40" s="248"/>
      <c r="I40" s="471"/>
      <c r="J40" s="472"/>
      <c r="L40" s="160"/>
      <c r="Q40" s="489"/>
    </row>
    <row r="41" spans="1:18" s="177" customFormat="1" ht="13.5" thickBot="1" x14ac:dyDescent="0.25">
      <c r="A41" s="697" t="s">
        <v>690</v>
      </c>
      <c r="B41" s="753"/>
      <c r="C41" s="638"/>
      <c r="D41" s="386"/>
      <c r="E41" s="386"/>
      <c r="F41" s="386">
        <v>4696.8</v>
      </c>
      <c r="G41" s="386"/>
      <c r="H41" s="386"/>
      <c r="I41" s="280"/>
      <c r="J41" s="287"/>
      <c r="L41" s="160"/>
      <c r="Q41" s="489"/>
    </row>
    <row r="42" spans="1:18" ht="13.5" thickBot="1" x14ac:dyDescent="0.25">
      <c r="A42" s="160"/>
      <c r="B42" s="160"/>
      <c r="C42" s="138">
        <f t="shared" ref="C42:J42" si="1">SUM(C29:C41)</f>
        <v>9490.5</v>
      </c>
      <c r="D42" s="187">
        <f t="shared" si="1"/>
        <v>2656.2</v>
      </c>
      <c r="E42" s="187">
        <f t="shared" si="1"/>
        <v>11400</v>
      </c>
      <c r="F42" s="187">
        <f t="shared" si="1"/>
        <v>4696.8</v>
      </c>
      <c r="G42" s="187">
        <f t="shared" si="1"/>
        <v>6840</v>
      </c>
      <c r="H42" s="187"/>
      <c r="I42" s="282">
        <f t="shared" si="1"/>
        <v>13816.8</v>
      </c>
      <c r="J42" s="364">
        <f t="shared" si="1"/>
        <v>10944</v>
      </c>
      <c r="K42" s="699">
        <f>SUM(C42:J42)</f>
        <v>59844.3</v>
      </c>
      <c r="L42" s="700"/>
      <c r="P42" s="160"/>
      <c r="Q42" s="228"/>
    </row>
    <row r="43" spans="1:18" x14ac:dyDescent="0.2">
      <c r="A43" s="160"/>
      <c r="B43" s="160"/>
      <c r="J43" s="266"/>
      <c r="K43" s="196"/>
      <c r="P43" s="160"/>
      <c r="Q43" s="228"/>
      <c r="R43" s="177"/>
    </row>
    <row r="44" spans="1:18" s="602" customFormat="1" ht="11.25" x14ac:dyDescent="0.2">
      <c r="A44" s="599"/>
      <c r="B44" s="600"/>
      <c r="C44" s="601">
        <f>C42</f>
        <v>9490.5</v>
      </c>
      <c r="D44" s="601">
        <f>D42</f>
        <v>2656.2</v>
      </c>
      <c r="E44" s="601">
        <v>0</v>
      </c>
      <c r="F44" s="601">
        <f>F42-(F42*0.025)</f>
        <v>4579.38</v>
      </c>
      <c r="G44" s="601">
        <f>G42-(G42*0.025)</f>
        <v>6669</v>
      </c>
      <c r="H44" s="601"/>
      <c r="I44" s="601">
        <f>I42-(I42*0.025)</f>
        <v>13471.38</v>
      </c>
      <c r="J44" s="601">
        <f>J42-(J42*0.025)</f>
        <v>10670.4</v>
      </c>
      <c r="K44" s="629">
        <f>C44+D44+F44</f>
        <v>16726.080000000002</v>
      </c>
      <c r="P44" s="628"/>
    </row>
    <row r="45" spans="1:18" x14ac:dyDescent="0.2">
      <c r="C45" s="626" t="s">
        <v>222</v>
      </c>
      <c r="D45" s="626" t="s">
        <v>222</v>
      </c>
      <c r="E45" s="626" t="s">
        <v>222</v>
      </c>
      <c r="F45" s="640" t="s">
        <v>222</v>
      </c>
      <c r="G45" s="626" t="s">
        <v>222</v>
      </c>
      <c r="H45" s="626"/>
      <c r="I45" s="626" t="s">
        <v>222</v>
      </c>
      <c r="J45" s="626" t="s">
        <v>222</v>
      </c>
    </row>
  </sheetData>
  <mergeCells count="43">
    <mergeCell ref="A41:B41"/>
    <mergeCell ref="A14:A15"/>
    <mergeCell ref="A38:B38"/>
    <mergeCell ref="A39:B39"/>
    <mergeCell ref="K42:L42"/>
    <mergeCell ref="A33:B33"/>
    <mergeCell ref="A31:B31"/>
    <mergeCell ref="A37:B37"/>
    <mergeCell ref="A34:B34"/>
    <mergeCell ref="A32:B32"/>
    <mergeCell ref="A35:B35"/>
    <mergeCell ref="A16:A17"/>
    <mergeCell ref="I16:I17"/>
    <mergeCell ref="A18:A19"/>
    <mergeCell ref="I18:I19"/>
    <mergeCell ref="A40:B40"/>
    <mergeCell ref="A5:A6"/>
    <mergeCell ref="I5:I6"/>
    <mergeCell ref="A21:B21"/>
    <mergeCell ref="A29:B29"/>
    <mergeCell ref="A36:B36"/>
    <mergeCell ref="I21:L22"/>
    <mergeCell ref="A30:B30"/>
    <mergeCell ref="A28:B28"/>
    <mergeCell ref="A7:A8"/>
    <mergeCell ref="A9:A11"/>
    <mergeCell ref="A12:A13"/>
    <mergeCell ref="J24:K24"/>
    <mergeCell ref="L23:M23"/>
    <mergeCell ref="L24:M24"/>
    <mergeCell ref="L25:M25"/>
    <mergeCell ref="C3:D3"/>
    <mergeCell ref="E3:F3"/>
    <mergeCell ref="J4:L4"/>
    <mergeCell ref="J23:K23"/>
    <mergeCell ref="I3:I4"/>
    <mergeCell ref="G3:G4"/>
    <mergeCell ref="I7:I8"/>
    <mergeCell ref="I9:I11"/>
    <mergeCell ref="I14:I15"/>
    <mergeCell ref="I12:I13"/>
    <mergeCell ref="C22:D22"/>
    <mergeCell ref="E22:F22"/>
  </mergeCells>
  <printOptions horizontalCentered="1"/>
  <pageMargins left="0.15748031496062992" right="0.15748031496062992" top="0.35433070866141736" bottom="0.55118110236220474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T59"/>
  <sheetViews>
    <sheetView zoomScaleNormal="100" workbookViewId="0">
      <pane ySplit="4" topLeftCell="A5" activePane="bottomLeft" state="frozenSplit"/>
      <selection pane="bottomLeft" activeCell="A5" sqref="A5:A13"/>
    </sheetView>
  </sheetViews>
  <sheetFormatPr defaultRowHeight="12.75" x14ac:dyDescent="0.2"/>
  <cols>
    <col min="1" max="1" width="2.42578125" style="490" customWidth="1"/>
    <col min="2" max="2" width="6.42578125" style="143" customWidth="1"/>
    <col min="3" max="4" width="10.7109375" style="196" customWidth="1"/>
    <col min="5" max="5" width="11.28515625" style="196" customWidth="1"/>
    <col min="6" max="6" width="10.42578125" style="196" customWidth="1"/>
    <col min="7" max="7" width="10" style="196" customWidth="1"/>
    <col min="8" max="8" width="10" style="196" hidden="1" customWidth="1"/>
    <col min="9" max="9" width="11" style="160" customWidth="1"/>
    <col min="10" max="11" width="10.42578125" style="160" customWidth="1"/>
    <col min="12" max="12" width="9.140625" style="160" customWidth="1"/>
    <col min="13" max="14" width="10.7109375" style="160" customWidth="1"/>
    <col min="15" max="15" width="10.7109375" style="177" customWidth="1"/>
    <col min="16" max="16" width="10.7109375" style="228" customWidth="1"/>
    <col min="17" max="17" width="14.140625" style="160" customWidth="1"/>
    <col min="18" max="18" width="13.28515625" style="160" customWidth="1"/>
    <col min="19" max="19" width="13.7109375" style="160" customWidth="1"/>
    <col min="20" max="20" width="13.140625" style="160" customWidth="1"/>
    <col min="21" max="16384" width="9.140625" style="160"/>
  </cols>
  <sheetData>
    <row r="1" spans="1:16" ht="15" x14ac:dyDescent="0.25">
      <c r="A1" s="100" t="s">
        <v>98</v>
      </c>
      <c r="C1" s="483"/>
    </row>
    <row r="2" spans="1:16" ht="9.75" customHeight="1" thickBot="1" x14ac:dyDescent="0.25">
      <c r="A2" s="2"/>
      <c r="C2" s="484"/>
      <c r="D2" s="485"/>
      <c r="E2" s="485"/>
      <c r="F2" s="485"/>
      <c r="G2" s="716" t="s">
        <v>476</v>
      </c>
      <c r="H2" s="664"/>
      <c r="I2" s="486"/>
    </row>
    <row r="3" spans="1:16" ht="17.25" customHeight="1" x14ac:dyDescent="0.2">
      <c r="A3" s="2"/>
      <c r="C3" s="718" t="s">
        <v>83</v>
      </c>
      <c r="D3" s="719"/>
      <c r="E3" s="718" t="s">
        <v>82</v>
      </c>
      <c r="F3" s="719"/>
      <c r="G3" s="716"/>
      <c r="H3" s="664"/>
      <c r="I3" s="486"/>
    </row>
    <row r="4" spans="1:16" ht="13.5" thickBot="1" x14ac:dyDescent="0.25">
      <c r="A4" s="385" t="s">
        <v>6</v>
      </c>
      <c r="B4" s="368" t="s">
        <v>18</v>
      </c>
      <c r="C4" s="113" t="s">
        <v>7</v>
      </c>
      <c r="D4" s="114" t="s">
        <v>8</v>
      </c>
      <c r="E4" s="113" t="s">
        <v>86</v>
      </c>
      <c r="F4" s="114" t="s">
        <v>8</v>
      </c>
      <c r="G4" s="717"/>
      <c r="H4" s="665"/>
      <c r="I4" s="479" t="s">
        <v>0</v>
      </c>
      <c r="J4" s="715" t="s">
        <v>19</v>
      </c>
      <c r="K4" s="715"/>
      <c r="L4" s="715"/>
    </row>
    <row r="5" spans="1:16" x14ac:dyDescent="0.2">
      <c r="A5" s="702" t="s">
        <v>184</v>
      </c>
      <c r="B5" s="288" t="s">
        <v>674</v>
      </c>
      <c r="C5" s="190">
        <v>21090</v>
      </c>
      <c r="D5" s="120"/>
      <c r="E5" s="129"/>
      <c r="F5" s="168"/>
      <c r="G5" s="125"/>
      <c r="H5" s="583">
        <f t="shared" ref="H5:H29" si="0">SUM(C5:G5)/1.14</f>
        <v>18500</v>
      </c>
      <c r="I5" s="720">
        <f>SUM(C5:G13)</f>
        <v>91815.599999999991</v>
      </c>
      <c r="J5" s="67" t="s">
        <v>137</v>
      </c>
      <c r="K5" s="73"/>
      <c r="L5" s="74"/>
      <c r="M5" s="160" t="s">
        <v>125</v>
      </c>
      <c r="O5" s="227">
        <v>42382</v>
      </c>
    </row>
    <row r="6" spans="1:16" x14ac:dyDescent="0.2">
      <c r="A6" s="704"/>
      <c r="B6" s="393" t="s">
        <v>675</v>
      </c>
      <c r="C6" s="390"/>
      <c r="D6" s="216"/>
      <c r="E6" s="396"/>
      <c r="F6" s="205">
        <v>27360</v>
      </c>
      <c r="G6" s="392"/>
      <c r="H6" s="583">
        <f t="shared" si="0"/>
        <v>24000.000000000004</v>
      </c>
      <c r="I6" s="695"/>
      <c r="J6" s="67" t="s">
        <v>394</v>
      </c>
      <c r="K6" s="73"/>
      <c r="L6" s="74"/>
      <c r="M6" s="160" t="s">
        <v>115</v>
      </c>
      <c r="O6" s="227" t="s">
        <v>116</v>
      </c>
    </row>
    <row r="7" spans="1:16" x14ac:dyDescent="0.2">
      <c r="A7" s="704"/>
      <c r="B7" s="288" t="s">
        <v>683</v>
      </c>
      <c r="C7" s="191"/>
      <c r="D7" s="120">
        <v>11400</v>
      </c>
      <c r="E7" s="129"/>
      <c r="F7" s="168"/>
      <c r="G7" s="125"/>
      <c r="H7" s="583">
        <f t="shared" si="0"/>
        <v>10000</v>
      </c>
      <c r="I7" s="695"/>
      <c r="J7" s="67" t="s">
        <v>591</v>
      </c>
      <c r="K7" s="73"/>
      <c r="L7" s="74"/>
      <c r="M7" s="160" t="s">
        <v>115</v>
      </c>
      <c r="O7" s="227" t="s">
        <v>116</v>
      </c>
      <c r="P7" s="293"/>
    </row>
    <row r="8" spans="1:16" x14ac:dyDescent="0.2">
      <c r="A8" s="704"/>
      <c r="B8" s="361" t="s">
        <v>688</v>
      </c>
      <c r="C8" s="340"/>
      <c r="D8" s="118">
        <v>9120</v>
      </c>
      <c r="E8" s="376"/>
      <c r="F8" s="182"/>
      <c r="G8" s="159"/>
      <c r="H8" s="583">
        <f t="shared" si="0"/>
        <v>8000.0000000000009</v>
      </c>
      <c r="I8" s="695"/>
      <c r="J8" s="67" t="s">
        <v>372</v>
      </c>
      <c r="K8" s="73"/>
      <c r="L8" s="74"/>
      <c r="M8" s="160" t="s">
        <v>115</v>
      </c>
      <c r="O8" s="227" t="s">
        <v>116</v>
      </c>
      <c r="P8" s="293"/>
    </row>
    <row r="9" spans="1:16" x14ac:dyDescent="0.2">
      <c r="A9" s="704"/>
      <c r="B9" s="361" t="s">
        <v>692</v>
      </c>
      <c r="C9" s="213">
        <v>14991</v>
      </c>
      <c r="D9" s="118"/>
      <c r="E9" s="376"/>
      <c r="F9" s="182"/>
      <c r="G9" s="159"/>
      <c r="H9" s="583">
        <f t="shared" si="0"/>
        <v>13150.000000000002</v>
      </c>
      <c r="I9" s="695"/>
      <c r="J9" s="67" t="s">
        <v>693</v>
      </c>
      <c r="K9" s="73"/>
      <c r="L9" s="74"/>
      <c r="M9" s="160" t="s">
        <v>149</v>
      </c>
      <c r="O9" s="227">
        <v>42399</v>
      </c>
      <c r="P9" s="293"/>
    </row>
    <row r="10" spans="1:16" customFormat="1" x14ac:dyDescent="0.2">
      <c r="A10" s="704"/>
      <c r="B10" s="361" t="s">
        <v>665</v>
      </c>
      <c r="C10" s="315"/>
      <c r="D10" s="304"/>
      <c r="E10" s="305">
        <v>0</v>
      </c>
      <c r="F10" s="306"/>
      <c r="G10" s="159"/>
      <c r="H10" s="125">
        <f t="shared" si="0"/>
        <v>0</v>
      </c>
      <c r="I10" s="695"/>
      <c r="J10" s="67" t="s">
        <v>578</v>
      </c>
      <c r="K10" s="73"/>
      <c r="L10" s="74"/>
      <c r="M10" s="160" t="s">
        <v>485</v>
      </c>
      <c r="O10" s="491" t="s">
        <v>116</v>
      </c>
    </row>
    <row r="11" spans="1:16" s="487" customFormat="1" x14ac:dyDescent="0.2">
      <c r="A11" s="704"/>
      <c r="B11" s="462" t="s">
        <v>694</v>
      </c>
      <c r="C11" s="632"/>
      <c r="D11" s="304">
        <v>2576.4</v>
      </c>
      <c r="E11" s="375"/>
      <c r="F11" s="306"/>
      <c r="G11" s="421"/>
      <c r="H11" s="583">
        <f t="shared" si="0"/>
        <v>2260.0000000000005</v>
      </c>
      <c r="I11" s="695"/>
      <c r="J11" s="465" t="s">
        <v>144</v>
      </c>
      <c r="K11" s="463"/>
      <c r="L11" s="464"/>
      <c r="M11" s="283" t="s">
        <v>115</v>
      </c>
      <c r="O11" s="491" t="s">
        <v>116</v>
      </c>
    </row>
    <row r="12" spans="1:16" x14ac:dyDescent="0.2">
      <c r="A12" s="704"/>
      <c r="B12" s="361" t="s">
        <v>696</v>
      </c>
      <c r="C12" s="213">
        <v>1174.2</v>
      </c>
      <c r="D12" s="118"/>
      <c r="E12" s="376"/>
      <c r="F12" s="182"/>
      <c r="G12" s="377"/>
      <c r="H12" s="583">
        <f t="shared" si="0"/>
        <v>1030.0000000000002</v>
      </c>
      <c r="I12" s="695"/>
      <c r="J12" s="67" t="s">
        <v>455</v>
      </c>
      <c r="K12" s="73"/>
      <c r="L12" s="74"/>
      <c r="M12" s="160" t="s">
        <v>125</v>
      </c>
      <c r="O12" s="227">
        <v>42401</v>
      </c>
      <c r="P12" s="293"/>
    </row>
    <row r="13" spans="1:16" x14ac:dyDescent="0.2">
      <c r="A13" s="703"/>
      <c r="B13" s="358" t="s">
        <v>697</v>
      </c>
      <c r="C13" s="387"/>
      <c r="D13" s="221"/>
      <c r="E13" s="388">
        <v>4104</v>
      </c>
      <c r="F13" s="221"/>
      <c r="G13" s="408"/>
      <c r="H13" s="583">
        <f t="shared" si="0"/>
        <v>3600.0000000000005</v>
      </c>
      <c r="I13" s="696"/>
      <c r="J13" s="67" t="s">
        <v>698</v>
      </c>
      <c r="K13" s="73"/>
      <c r="L13" s="74"/>
      <c r="M13" s="160" t="s">
        <v>149</v>
      </c>
      <c r="O13" s="227">
        <v>42402</v>
      </c>
      <c r="P13" s="293"/>
    </row>
    <row r="14" spans="1:16" x14ac:dyDescent="0.2">
      <c r="A14" s="702" t="s">
        <v>256</v>
      </c>
      <c r="B14" s="145" t="s">
        <v>699</v>
      </c>
      <c r="C14" s="119"/>
      <c r="D14" s="120">
        <v>10260</v>
      </c>
      <c r="E14" s="119"/>
      <c r="F14" s="120"/>
      <c r="G14" s="130"/>
      <c r="H14" s="583">
        <f t="shared" si="0"/>
        <v>9000</v>
      </c>
      <c r="I14" s="694">
        <f>SUM(C14:G15)</f>
        <v>13566</v>
      </c>
      <c r="J14" s="67" t="s">
        <v>722</v>
      </c>
      <c r="K14" s="73"/>
      <c r="L14" s="74"/>
      <c r="M14" s="283" t="s">
        <v>115</v>
      </c>
      <c r="O14" s="227" t="s">
        <v>116</v>
      </c>
    </row>
    <row r="15" spans="1:16" x14ac:dyDescent="0.2">
      <c r="A15" s="703"/>
      <c r="B15" s="144" t="s">
        <v>700</v>
      </c>
      <c r="C15" s="117"/>
      <c r="D15" s="118">
        <v>3306</v>
      </c>
      <c r="E15" s="117"/>
      <c r="F15" s="118"/>
      <c r="G15" s="377"/>
      <c r="H15" s="583">
        <f t="shared" si="0"/>
        <v>2900.0000000000005</v>
      </c>
      <c r="I15" s="696"/>
      <c r="J15" s="67" t="s">
        <v>701</v>
      </c>
      <c r="K15" s="73"/>
      <c r="L15" s="74"/>
      <c r="M15" s="283" t="s">
        <v>115</v>
      </c>
      <c r="O15" s="227" t="s">
        <v>116</v>
      </c>
    </row>
    <row r="16" spans="1:16" x14ac:dyDescent="0.2">
      <c r="A16" s="702" t="s">
        <v>117</v>
      </c>
      <c r="B16" s="358" t="s">
        <v>702</v>
      </c>
      <c r="C16" s="359"/>
      <c r="D16" s="221">
        <v>2736</v>
      </c>
      <c r="E16" s="359"/>
      <c r="F16" s="221"/>
      <c r="G16" s="408"/>
      <c r="H16" s="583">
        <f t="shared" si="0"/>
        <v>2400</v>
      </c>
      <c r="I16" s="694">
        <f>SUM(C16:G17)</f>
        <v>13680</v>
      </c>
      <c r="J16" s="67" t="s">
        <v>154</v>
      </c>
      <c r="K16" s="73"/>
      <c r="L16" s="74"/>
      <c r="M16" s="283" t="s">
        <v>115</v>
      </c>
      <c r="O16" s="227" t="s">
        <v>116</v>
      </c>
    </row>
    <row r="17" spans="1:17" x14ac:dyDescent="0.2">
      <c r="A17" s="703"/>
      <c r="B17" s="288" t="s">
        <v>703</v>
      </c>
      <c r="C17" s="119"/>
      <c r="D17" s="120">
        <v>10944</v>
      </c>
      <c r="E17" s="119"/>
      <c r="F17" s="120"/>
      <c r="G17" s="130"/>
      <c r="H17" s="583">
        <f t="shared" si="0"/>
        <v>9600</v>
      </c>
      <c r="I17" s="696"/>
      <c r="J17" s="67" t="s">
        <v>154</v>
      </c>
      <c r="K17" s="73"/>
      <c r="L17" s="74"/>
      <c r="M17" s="283" t="s">
        <v>115</v>
      </c>
      <c r="O17" s="227" t="s">
        <v>116</v>
      </c>
    </row>
    <row r="18" spans="1:17" x14ac:dyDescent="0.2">
      <c r="A18" s="702" t="s">
        <v>127</v>
      </c>
      <c r="B18" s="288" t="s">
        <v>704</v>
      </c>
      <c r="C18" s="390"/>
      <c r="D18" s="216">
        <v>3705</v>
      </c>
      <c r="E18" s="390"/>
      <c r="F18" s="216"/>
      <c r="G18" s="410"/>
      <c r="H18" s="583">
        <f t="shared" si="0"/>
        <v>3250.0000000000005</v>
      </c>
      <c r="I18" s="694">
        <f>SUM(C18:G19)</f>
        <v>7809</v>
      </c>
      <c r="J18" s="67" t="s">
        <v>176</v>
      </c>
      <c r="K18" s="73"/>
      <c r="L18" s="74"/>
      <c r="M18" s="283" t="s">
        <v>115</v>
      </c>
      <c r="O18" s="227" t="s">
        <v>116</v>
      </c>
    </row>
    <row r="19" spans="1:17" x14ac:dyDescent="0.2">
      <c r="A19" s="703"/>
      <c r="B19" s="389" t="s">
        <v>705</v>
      </c>
      <c r="C19" s="119"/>
      <c r="D19" s="120">
        <v>4104</v>
      </c>
      <c r="E19" s="119"/>
      <c r="F19" s="120"/>
      <c r="G19" s="130"/>
      <c r="H19" s="583">
        <f t="shared" si="0"/>
        <v>3600.0000000000005</v>
      </c>
      <c r="I19" s="696"/>
      <c r="J19" s="67" t="s">
        <v>176</v>
      </c>
      <c r="K19" s="73"/>
      <c r="L19" s="74"/>
      <c r="M19" s="283" t="s">
        <v>115</v>
      </c>
      <c r="O19" s="227" t="s">
        <v>116</v>
      </c>
    </row>
    <row r="20" spans="1:17" x14ac:dyDescent="0.2">
      <c r="A20" s="184" t="s">
        <v>146</v>
      </c>
      <c r="B20" s="288" t="s">
        <v>706</v>
      </c>
      <c r="C20" s="390"/>
      <c r="D20" s="216">
        <v>9120</v>
      </c>
      <c r="E20" s="390"/>
      <c r="F20" s="216"/>
      <c r="G20" s="410"/>
      <c r="H20" s="583">
        <f t="shared" si="0"/>
        <v>8000.0000000000009</v>
      </c>
      <c r="I20" s="355">
        <f>SUM(C20:G20)</f>
        <v>9120</v>
      </c>
      <c r="J20" s="67" t="s">
        <v>707</v>
      </c>
      <c r="K20" s="73"/>
      <c r="L20" s="74"/>
      <c r="M20" s="283" t="s">
        <v>115</v>
      </c>
      <c r="O20" s="227" t="s">
        <v>116</v>
      </c>
    </row>
    <row r="21" spans="1:17" x14ac:dyDescent="0.2">
      <c r="A21" s="702" t="s">
        <v>150</v>
      </c>
      <c r="B21" s="389" t="s">
        <v>709</v>
      </c>
      <c r="C21" s="119"/>
      <c r="D21" s="120">
        <v>5261.1</v>
      </c>
      <c r="E21" s="119"/>
      <c r="F21" s="120"/>
      <c r="G21" s="130"/>
      <c r="H21" s="583">
        <f t="shared" si="0"/>
        <v>4615.0000000000009</v>
      </c>
      <c r="I21" s="694">
        <f>SUM(C21:G23)</f>
        <v>13360.800000000001</v>
      </c>
      <c r="J21" s="67" t="s">
        <v>114</v>
      </c>
      <c r="K21" s="73"/>
      <c r="L21" s="74"/>
      <c r="M21" s="283" t="s">
        <v>115</v>
      </c>
      <c r="O21" s="227" t="s">
        <v>116</v>
      </c>
    </row>
    <row r="22" spans="1:17" x14ac:dyDescent="0.2">
      <c r="A22" s="704"/>
      <c r="B22" s="145" t="s">
        <v>710</v>
      </c>
      <c r="C22" s="119"/>
      <c r="D22" s="120">
        <v>7142.1</v>
      </c>
      <c r="E22" s="119"/>
      <c r="F22" s="120"/>
      <c r="G22" s="130"/>
      <c r="H22" s="583">
        <f t="shared" si="0"/>
        <v>6265.0000000000009</v>
      </c>
      <c r="I22" s="695"/>
      <c r="J22" s="67" t="s">
        <v>114</v>
      </c>
      <c r="K22" s="73"/>
      <c r="L22" s="74"/>
      <c r="M22" s="283" t="s">
        <v>115</v>
      </c>
      <c r="O22" s="227" t="s">
        <v>116</v>
      </c>
    </row>
    <row r="23" spans="1:17" x14ac:dyDescent="0.2">
      <c r="A23" s="703"/>
      <c r="B23" s="145" t="s">
        <v>711</v>
      </c>
      <c r="C23" s="117"/>
      <c r="D23" s="118">
        <v>957.6</v>
      </c>
      <c r="E23" s="117"/>
      <c r="F23" s="118"/>
      <c r="G23" s="377"/>
      <c r="H23" s="583">
        <f t="shared" si="0"/>
        <v>840.00000000000011</v>
      </c>
      <c r="I23" s="696"/>
      <c r="J23" s="67" t="s">
        <v>144</v>
      </c>
      <c r="K23" s="73"/>
      <c r="L23" s="74"/>
      <c r="M23" s="283" t="s">
        <v>115</v>
      </c>
      <c r="O23" s="227" t="s">
        <v>116</v>
      </c>
    </row>
    <row r="24" spans="1:17" x14ac:dyDescent="0.2">
      <c r="A24" s="702" t="s">
        <v>152</v>
      </c>
      <c r="B24" s="144" t="s">
        <v>712</v>
      </c>
      <c r="C24" s="340"/>
      <c r="D24" s="118">
        <v>2280</v>
      </c>
      <c r="E24" s="117"/>
      <c r="F24" s="118"/>
      <c r="G24" s="377"/>
      <c r="H24" s="671">
        <f t="shared" si="0"/>
        <v>2000.0000000000002</v>
      </c>
      <c r="I24" s="694">
        <f>SUM(C24:G27)</f>
        <v>49692.6</v>
      </c>
      <c r="J24" s="67" t="s">
        <v>176</v>
      </c>
      <c r="K24" s="73"/>
      <c r="L24" s="74"/>
      <c r="M24" s="283" t="s">
        <v>115</v>
      </c>
      <c r="O24" s="227" t="s">
        <v>116</v>
      </c>
    </row>
    <row r="25" spans="1:17" x14ac:dyDescent="0.2">
      <c r="A25" s="704"/>
      <c r="B25" s="358" t="s">
        <v>713</v>
      </c>
      <c r="C25" s="359"/>
      <c r="D25" s="221">
        <v>7147.8</v>
      </c>
      <c r="E25" s="359"/>
      <c r="F25" s="221"/>
      <c r="G25" s="408"/>
      <c r="H25" s="583">
        <f t="shared" si="0"/>
        <v>6270.0000000000009</v>
      </c>
      <c r="I25" s="695"/>
      <c r="J25" s="67" t="s">
        <v>114</v>
      </c>
      <c r="K25" s="73"/>
      <c r="L25" s="74"/>
      <c r="M25" s="283" t="s">
        <v>115</v>
      </c>
      <c r="O25" s="227" t="s">
        <v>116</v>
      </c>
    </row>
    <row r="26" spans="1:17" x14ac:dyDescent="0.2">
      <c r="A26" s="704"/>
      <c r="B26" s="145" t="s">
        <v>714</v>
      </c>
      <c r="C26" s="119"/>
      <c r="D26" s="120">
        <v>9484.7999999999993</v>
      </c>
      <c r="E26" s="119"/>
      <c r="F26" s="120"/>
      <c r="G26" s="130"/>
      <c r="H26" s="583">
        <f t="shared" si="0"/>
        <v>8320</v>
      </c>
      <c r="I26" s="695"/>
      <c r="J26" s="67" t="s">
        <v>114</v>
      </c>
      <c r="K26" s="73"/>
      <c r="L26" s="74"/>
      <c r="M26" s="283" t="s">
        <v>115</v>
      </c>
      <c r="O26" s="227" t="s">
        <v>116</v>
      </c>
    </row>
    <row r="27" spans="1:17" x14ac:dyDescent="0.2">
      <c r="A27" s="703"/>
      <c r="B27" s="145" t="s">
        <v>715</v>
      </c>
      <c r="C27" s="117"/>
      <c r="D27" s="118">
        <v>30780</v>
      </c>
      <c r="E27" s="117"/>
      <c r="F27" s="118"/>
      <c r="G27" s="377"/>
      <c r="H27" s="583">
        <f t="shared" si="0"/>
        <v>27000.000000000004</v>
      </c>
      <c r="I27" s="696"/>
      <c r="J27" s="67" t="s">
        <v>157</v>
      </c>
      <c r="K27" s="73"/>
      <c r="L27" s="74"/>
      <c r="M27" s="283" t="s">
        <v>115</v>
      </c>
      <c r="O27" s="227" t="s">
        <v>116</v>
      </c>
    </row>
    <row r="28" spans="1:17" x14ac:dyDescent="0.2">
      <c r="A28" s="702" t="s">
        <v>339</v>
      </c>
      <c r="B28" s="144" t="s">
        <v>718</v>
      </c>
      <c r="C28" s="213">
        <v>2268.6</v>
      </c>
      <c r="D28" s="118"/>
      <c r="E28" s="117"/>
      <c r="F28" s="118"/>
      <c r="G28" s="377"/>
      <c r="H28" s="583">
        <f t="shared" si="0"/>
        <v>1990</v>
      </c>
      <c r="I28" s="694">
        <f>SUM(C28:G29)</f>
        <v>2895.6</v>
      </c>
      <c r="J28" s="67" t="s">
        <v>719</v>
      </c>
      <c r="K28" s="73"/>
      <c r="L28" s="74"/>
      <c r="M28" s="283" t="s">
        <v>149</v>
      </c>
      <c r="O28" s="227">
        <v>42429</v>
      </c>
    </row>
    <row r="29" spans="1:17" ht="13.5" thickBot="1" x14ac:dyDescent="0.25">
      <c r="A29" s="703"/>
      <c r="B29" s="144" t="s">
        <v>720</v>
      </c>
      <c r="C29" s="117"/>
      <c r="D29" s="118">
        <v>627</v>
      </c>
      <c r="E29" s="117"/>
      <c r="F29" s="118"/>
      <c r="G29" s="377"/>
      <c r="H29" s="583">
        <f t="shared" si="0"/>
        <v>550</v>
      </c>
      <c r="I29" s="767"/>
      <c r="J29" s="67" t="s">
        <v>721</v>
      </c>
      <c r="K29" s="73"/>
      <c r="L29" s="74"/>
      <c r="M29" s="283" t="s">
        <v>115</v>
      </c>
      <c r="O29" s="227" t="s">
        <v>116</v>
      </c>
    </row>
    <row r="30" spans="1:17" ht="14.25" customHeight="1" thickTop="1" thickBot="1" x14ac:dyDescent="0.25">
      <c r="A30" s="705"/>
      <c r="B30" s="705"/>
      <c r="C30" s="115">
        <f>SUM(C10:C29)</f>
        <v>3442.8</v>
      </c>
      <c r="D30" s="115">
        <f>SUM(D10:D29)</f>
        <v>110431.8</v>
      </c>
      <c r="E30" s="115">
        <f>SUM(E10:E29)</f>
        <v>4104</v>
      </c>
      <c r="F30" s="115">
        <f>SUM(F10:F29)</f>
        <v>0</v>
      </c>
      <c r="G30" s="115">
        <f>SUM(G10:G29)</f>
        <v>0</v>
      </c>
      <c r="H30" s="580"/>
      <c r="I30" s="706">
        <f>SUM(I5:I29)</f>
        <v>201939.59999999998</v>
      </c>
      <c r="J30" s="707"/>
      <c r="K30" s="707"/>
      <c r="L30" s="707"/>
      <c r="M30" s="128">
        <f>SUM(C30:G30)</f>
        <v>117978.6</v>
      </c>
      <c r="N30" s="128"/>
    </row>
    <row r="31" spans="1:17" ht="15" customHeight="1" x14ac:dyDescent="0.2">
      <c r="A31" s="481"/>
      <c r="B31" s="146"/>
      <c r="C31" s="709">
        <f>SUM(C30:D30)</f>
        <v>113874.6</v>
      </c>
      <c r="D31" s="710"/>
      <c r="E31" s="709">
        <f>SUM(E30:F30)</f>
        <v>4104</v>
      </c>
      <c r="F31" s="710"/>
      <c r="G31" s="127">
        <f>SUM(G30)</f>
        <v>0</v>
      </c>
      <c r="H31" s="670"/>
      <c r="I31" s="708"/>
      <c r="J31" s="706"/>
      <c r="K31" s="706"/>
      <c r="L31" s="706"/>
      <c r="M31" s="128">
        <f>SUM(C31:G31)</f>
        <v>117978.6</v>
      </c>
      <c r="N31" s="128"/>
      <c r="Q31" s="488"/>
    </row>
    <row r="32" spans="1:17" x14ac:dyDescent="0.2">
      <c r="A32" s="481"/>
      <c r="B32" s="146"/>
      <c r="C32" s="9"/>
      <c r="D32" s="9"/>
      <c r="E32" s="9"/>
      <c r="F32" s="9"/>
      <c r="G32" s="9"/>
      <c r="H32" s="9"/>
      <c r="I32" s="14"/>
      <c r="L32" s="488"/>
      <c r="M32" s="8"/>
      <c r="N32" s="8"/>
    </row>
    <row r="33" spans="1:20" ht="15" x14ac:dyDescent="0.2">
      <c r="A33" s="124" t="s">
        <v>17</v>
      </c>
    </row>
    <row r="34" spans="1:20" s="177" customFormat="1" ht="7.5" customHeight="1" x14ac:dyDescent="0.2">
      <c r="A34" s="4"/>
      <c r="B34" s="143"/>
      <c r="C34" s="196"/>
      <c r="D34" s="196"/>
      <c r="E34" s="196"/>
      <c r="F34" s="196"/>
      <c r="G34" s="196"/>
      <c r="H34" s="196"/>
      <c r="I34" s="160"/>
      <c r="J34" s="160"/>
      <c r="K34" s="160"/>
      <c r="L34" s="160"/>
      <c r="M34" s="160"/>
      <c r="N34" s="160"/>
      <c r="P34" s="228"/>
    </row>
    <row r="35" spans="1:20" s="177" customFormat="1" ht="17.25" customHeight="1" thickBot="1" x14ac:dyDescent="0.25">
      <c r="A35" s="217"/>
      <c r="B35" s="218" t="s">
        <v>83</v>
      </c>
      <c r="C35" s="196"/>
      <c r="D35" s="196"/>
      <c r="E35" s="196"/>
      <c r="F35" s="196"/>
      <c r="G35" s="196"/>
      <c r="H35" s="196"/>
      <c r="I35" s="160"/>
      <c r="J35" s="160"/>
      <c r="K35" s="160"/>
      <c r="L35" s="160"/>
      <c r="M35" s="160"/>
      <c r="N35" s="160"/>
      <c r="P35" s="228"/>
    </row>
    <row r="36" spans="1:20" s="177" customFormat="1" ht="13.5" thickBot="1" x14ac:dyDescent="0.25">
      <c r="A36" s="799"/>
      <c r="B36" s="800"/>
      <c r="C36" s="630" t="s">
        <v>658</v>
      </c>
      <c r="D36" s="246" t="s">
        <v>48</v>
      </c>
      <c r="E36" s="246" t="s">
        <v>11</v>
      </c>
      <c r="F36" s="246" t="s">
        <v>74</v>
      </c>
      <c r="G36" s="246" t="s">
        <v>708</v>
      </c>
      <c r="H36" s="246"/>
      <c r="I36" s="246" t="s">
        <v>10</v>
      </c>
      <c r="J36" s="246" t="s">
        <v>695</v>
      </c>
      <c r="K36" s="92" t="s">
        <v>72</v>
      </c>
      <c r="L36" s="92" t="s">
        <v>9</v>
      </c>
      <c r="M36" s="157" t="s">
        <v>16</v>
      </c>
      <c r="O36" s="160"/>
      <c r="T36" s="489"/>
    </row>
    <row r="37" spans="1:20" s="177" customFormat="1" x14ac:dyDescent="0.2">
      <c r="A37" s="741" t="s">
        <v>694</v>
      </c>
      <c r="B37" s="809"/>
      <c r="C37" s="131"/>
      <c r="D37" s="123"/>
      <c r="E37" s="123"/>
      <c r="F37" s="123"/>
      <c r="G37" s="123"/>
      <c r="H37" s="123"/>
      <c r="I37" s="123"/>
      <c r="J37" s="123">
        <v>2576.4</v>
      </c>
      <c r="K37" s="123"/>
      <c r="L37" s="326"/>
      <c r="M37" s="474"/>
      <c r="O37" s="160"/>
      <c r="T37" s="489"/>
    </row>
    <row r="38" spans="1:20" s="177" customFormat="1" x14ac:dyDescent="0.2">
      <c r="A38" s="724" t="s">
        <v>699</v>
      </c>
      <c r="B38" s="810"/>
      <c r="C38" s="475">
        <v>10260</v>
      </c>
      <c r="D38" s="431"/>
      <c r="E38" s="376"/>
      <c r="F38" s="376"/>
      <c r="G38" s="376"/>
      <c r="H38" s="376"/>
      <c r="I38" s="376"/>
      <c r="J38" s="376"/>
      <c r="K38" s="431"/>
      <c r="L38" s="476"/>
      <c r="M38" s="341"/>
      <c r="O38" s="160"/>
      <c r="T38" s="489"/>
    </row>
    <row r="39" spans="1:20" s="177" customFormat="1" x14ac:dyDescent="0.2">
      <c r="A39" s="724" t="s">
        <v>700</v>
      </c>
      <c r="B39" s="810"/>
      <c r="C39" s="133"/>
      <c r="D39" s="122"/>
      <c r="E39" s="129"/>
      <c r="F39" s="129">
        <v>3306</v>
      </c>
      <c r="G39" s="129"/>
      <c r="H39" s="129"/>
      <c r="I39" s="129"/>
      <c r="J39" s="129"/>
      <c r="K39" s="122"/>
      <c r="L39" s="327"/>
      <c r="M39" s="136"/>
      <c r="O39" s="160"/>
      <c r="T39" s="489"/>
    </row>
    <row r="40" spans="1:20" s="177" customFormat="1" x14ac:dyDescent="0.2">
      <c r="A40" s="724" t="s">
        <v>702</v>
      </c>
      <c r="B40" s="810"/>
      <c r="C40" s="380"/>
      <c r="D40" s="122"/>
      <c r="E40" s="318"/>
      <c r="F40" s="318"/>
      <c r="G40" s="318"/>
      <c r="H40" s="318"/>
      <c r="I40" s="318"/>
      <c r="J40" s="318"/>
      <c r="K40" s="248"/>
      <c r="L40" s="316"/>
      <c r="M40" s="206">
        <v>2736</v>
      </c>
      <c r="O40" s="160"/>
      <c r="T40" s="489"/>
    </row>
    <row r="41" spans="1:20" s="177" customFormat="1" x14ac:dyDescent="0.2">
      <c r="A41" s="724" t="s">
        <v>703</v>
      </c>
      <c r="B41" s="810"/>
      <c r="C41" s="380"/>
      <c r="D41" s="248"/>
      <c r="E41" s="248"/>
      <c r="F41" s="248"/>
      <c r="G41" s="248"/>
      <c r="H41" s="248"/>
      <c r="I41" s="248"/>
      <c r="J41" s="248"/>
      <c r="K41" s="248"/>
      <c r="L41" s="316"/>
      <c r="M41" s="206">
        <v>10944</v>
      </c>
      <c r="O41" s="160"/>
      <c r="T41" s="489"/>
    </row>
    <row r="42" spans="1:20" s="177" customFormat="1" x14ac:dyDescent="0.2">
      <c r="A42" s="724" t="s">
        <v>704</v>
      </c>
      <c r="B42" s="810"/>
      <c r="C42" s="380"/>
      <c r="D42" s="248">
        <v>3705</v>
      </c>
      <c r="E42" s="248"/>
      <c r="F42" s="248"/>
      <c r="G42" s="248"/>
      <c r="H42" s="248"/>
      <c r="I42" s="248"/>
      <c r="J42" s="248"/>
      <c r="K42" s="248"/>
      <c r="L42" s="316"/>
      <c r="M42" s="206"/>
      <c r="O42" s="160"/>
      <c r="T42" s="489"/>
    </row>
    <row r="43" spans="1:20" s="177" customFormat="1" x14ac:dyDescent="0.2">
      <c r="A43" s="724" t="s">
        <v>705</v>
      </c>
      <c r="B43" s="810"/>
      <c r="C43" s="380"/>
      <c r="D43" s="248">
        <v>4104</v>
      </c>
      <c r="E43" s="248"/>
      <c r="F43" s="248"/>
      <c r="G43" s="248"/>
      <c r="H43" s="248"/>
      <c r="I43" s="248"/>
      <c r="J43" s="248"/>
      <c r="K43" s="248"/>
      <c r="L43" s="316"/>
      <c r="M43" s="206"/>
      <c r="O43" s="160"/>
      <c r="T43" s="489"/>
    </row>
    <row r="44" spans="1:20" s="177" customFormat="1" x14ac:dyDescent="0.2">
      <c r="A44" s="692" t="s">
        <v>706</v>
      </c>
      <c r="B44" s="693"/>
      <c r="C44" s="380"/>
      <c r="D44" s="248"/>
      <c r="E44" s="248"/>
      <c r="F44" s="248"/>
      <c r="G44" s="248">
        <v>9120</v>
      </c>
      <c r="H44" s="248"/>
      <c r="I44" s="248"/>
      <c r="J44" s="248"/>
      <c r="K44" s="248"/>
      <c r="L44" s="316"/>
      <c r="M44" s="206"/>
      <c r="O44" s="160"/>
      <c r="T44" s="489"/>
    </row>
    <row r="45" spans="1:20" s="177" customFormat="1" x14ac:dyDescent="0.2">
      <c r="A45" s="692" t="s">
        <v>709</v>
      </c>
      <c r="B45" s="693"/>
      <c r="C45" s="380"/>
      <c r="D45" s="248"/>
      <c r="E45" s="248"/>
      <c r="F45" s="248"/>
      <c r="G45" s="248"/>
      <c r="H45" s="248"/>
      <c r="I45" s="248"/>
      <c r="J45" s="248"/>
      <c r="K45" s="248"/>
      <c r="L45" s="316">
        <v>5261.1</v>
      </c>
      <c r="M45" s="206"/>
      <c r="O45" s="160"/>
      <c r="T45" s="489"/>
    </row>
    <row r="46" spans="1:20" s="177" customFormat="1" x14ac:dyDescent="0.2">
      <c r="A46" s="692" t="s">
        <v>710</v>
      </c>
      <c r="B46" s="693"/>
      <c r="C46" s="380"/>
      <c r="D46" s="248"/>
      <c r="E46" s="248"/>
      <c r="F46" s="248"/>
      <c r="G46" s="248"/>
      <c r="H46" s="248"/>
      <c r="I46" s="248"/>
      <c r="J46" s="248"/>
      <c r="K46" s="248"/>
      <c r="L46" s="316">
        <v>7142.1</v>
      </c>
      <c r="M46" s="206"/>
      <c r="O46" s="160"/>
      <c r="T46" s="489"/>
    </row>
    <row r="47" spans="1:20" s="177" customFormat="1" x14ac:dyDescent="0.2">
      <c r="A47" s="692" t="s">
        <v>711</v>
      </c>
      <c r="B47" s="693"/>
      <c r="C47" s="380"/>
      <c r="D47" s="248"/>
      <c r="E47" s="248"/>
      <c r="F47" s="248"/>
      <c r="G47" s="248"/>
      <c r="H47" s="248"/>
      <c r="I47" s="248"/>
      <c r="J47" s="248">
        <v>957.6</v>
      </c>
      <c r="K47" s="248"/>
      <c r="L47" s="316"/>
      <c r="M47" s="206"/>
      <c r="O47" s="160"/>
      <c r="T47" s="489"/>
    </row>
    <row r="48" spans="1:20" s="177" customFormat="1" x14ac:dyDescent="0.2">
      <c r="A48" s="692" t="s">
        <v>712</v>
      </c>
      <c r="B48" s="693"/>
      <c r="C48" s="380"/>
      <c r="D48" s="248">
        <v>2280</v>
      </c>
      <c r="E48" s="248"/>
      <c r="F48" s="248"/>
      <c r="G48" s="248"/>
      <c r="H48" s="248"/>
      <c r="I48" s="248"/>
      <c r="J48" s="248"/>
      <c r="K48" s="248"/>
      <c r="L48" s="316"/>
      <c r="M48" s="206"/>
      <c r="O48" s="160"/>
      <c r="T48" s="489"/>
    </row>
    <row r="49" spans="1:20" s="177" customFormat="1" x14ac:dyDescent="0.2">
      <c r="A49" s="692" t="s">
        <v>713</v>
      </c>
      <c r="B49" s="693"/>
      <c r="C49" s="380"/>
      <c r="D49" s="248"/>
      <c r="E49" s="248"/>
      <c r="F49" s="248"/>
      <c r="G49" s="248"/>
      <c r="H49" s="248"/>
      <c r="I49" s="248"/>
      <c r="J49" s="248"/>
      <c r="K49" s="248"/>
      <c r="L49" s="316">
        <v>7147.8</v>
      </c>
      <c r="M49" s="206"/>
      <c r="O49" s="160"/>
      <c r="T49" s="489"/>
    </row>
    <row r="50" spans="1:20" s="177" customFormat="1" x14ac:dyDescent="0.2">
      <c r="A50" s="692" t="s">
        <v>714</v>
      </c>
      <c r="B50" s="693"/>
      <c r="C50" s="380"/>
      <c r="D50" s="248"/>
      <c r="E50" s="248"/>
      <c r="F50" s="248"/>
      <c r="G50" s="248"/>
      <c r="H50" s="248"/>
      <c r="I50" s="248"/>
      <c r="J50" s="248"/>
      <c r="K50" s="248"/>
      <c r="L50" s="316">
        <v>9484.7999999999993</v>
      </c>
      <c r="M50" s="206"/>
      <c r="O50" s="160"/>
      <c r="T50" s="489"/>
    </row>
    <row r="51" spans="1:20" s="177" customFormat="1" x14ac:dyDescent="0.2">
      <c r="A51" s="692" t="s">
        <v>715</v>
      </c>
      <c r="B51" s="693"/>
      <c r="C51" s="380"/>
      <c r="D51" s="248"/>
      <c r="E51" s="248">
        <v>30780</v>
      </c>
      <c r="F51" s="248"/>
      <c r="G51" s="248"/>
      <c r="H51" s="248"/>
      <c r="I51" s="248"/>
      <c r="J51" s="248"/>
      <c r="K51" s="248"/>
      <c r="L51" s="316"/>
      <c r="M51" s="206"/>
      <c r="O51" s="160"/>
      <c r="T51" s="489"/>
    </row>
    <row r="52" spans="1:20" s="177" customFormat="1" x14ac:dyDescent="0.2">
      <c r="A52" s="692" t="s">
        <v>716</v>
      </c>
      <c r="B52" s="693"/>
      <c r="C52" s="380"/>
      <c r="D52" s="248"/>
      <c r="E52" s="248"/>
      <c r="F52" s="248"/>
      <c r="G52" s="248"/>
      <c r="H52" s="248"/>
      <c r="I52" s="248"/>
      <c r="J52" s="248"/>
      <c r="K52" s="248">
        <v>69100</v>
      </c>
      <c r="L52" s="316"/>
      <c r="M52" s="206"/>
      <c r="O52" s="160"/>
      <c r="T52" s="489"/>
    </row>
    <row r="53" spans="1:20" s="177" customFormat="1" x14ac:dyDescent="0.2">
      <c r="A53" s="692" t="s">
        <v>717</v>
      </c>
      <c r="B53" s="693"/>
      <c r="C53" s="380"/>
      <c r="D53" s="248"/>
      <c r="E53" s="248"/>
      <c r="F53" s="248"/>
      <c r="G53" s="248"/>
      <c r="H53" s="248"/>
      <c r="I53" s="248"/>
      <c r="J53" s="248"/>
      <c r="K53" s="248">
        <v>24250</v>
      </c>
      <c r="L53" s="316"/>
      <c r="M53" s="206"/>
      <c r="O53" s="160"/>
      <c r="T53" s="489"/>
    </row>
    <row r="54" spans="1:20" s="177" customFormat="1" ht="13.5" thickBot="1" x14ac:dyDescent="0.25">
      <c r="A54" s="697" t="s">
        <v>720</v>
      </c>
      <c r="B54" s="753"/>
      <c r="C54" s="154"/>
      <c r="D54" s="386"/>
      <c r="E54" s="386"/>
      <c r="F54" s="386"/>
      <c r="G54" s="386"/>
      <c r="H54" s="386"/>
      <c r="I54" s="386">
        <v>627</v>
      </c>
      <c r="J54" s="386"/>
      <c r="K54" s="386"/>
      <c r="L54" s="439"/>
      <c r="M54" s="158"/>
      <c r="O54" s="160"/>
      <c r="T54" s="489"/>
    </row>
    <row r="55" spans="1:20" ht="13.5" thickBot="1" x14ac:dyDescent="0.25">
      <c r="C55" s="138">
        <f t="shared" ref="C55:M55" si="1">SUM(C37:C54)</f>
        <v>10260</v>
      </c>
      <c r="D55" s="187">
        <f>SUM(D37:D54)</f>
        <v>10089</v>
      </c>
      <c r="E55" s="641">
        <f t="shared" si="1"/>
        <v>30780</v>
      </c>
      <c r="F55" s="187">
        <f t="shared" si="1"/>
        <v>3306</v>
      </c>
      <c r="G55" s="187">
        <f t="shared" si="1"/>
        <v>9120</v>
      </c>
      <c r="H55" s="187"/>
      <c r="I55" s="641">
        <f t="shared" si="1"/>
        <v>627</v>
      </c>
      <c r="J55" s="187">
        <f t="shared" si="1"/>
        <v>3534</v>
      </c>
      <c r="K55" s="187">
        <f t="shared" si="1"/>
        <v>93350</v>
      </c>
      <c r="L55" s="187">
        <f t="shared" si="1"/>
        <v>29035.8</v>
      </c>
      <c r="M55" s="247">
        <f t="shared" si="1"/>
        <v>13680</v>
      </c>
      <c r="N55" s="699">
        <f>SUM(C55:M55)</f>
        <v>203781.8</v>
      </c>
      <c r="O55" s="700"/>
      <c r="P55" s="160"/>
      <c r="T55" s="228"/>
    </row>
    <row r="56" spans="1:20" x14ac:dyDescent="0.2">
      <c r="I56" s="196"/>
      <c r="O56" s="160"/>
      <c r="P56" s="489"/>
      <c r="Q56" s="639"/>
    </row>
    <row r="57" spans="1:20" s="606" customFormat="1" ht="11.25" x14ac:dyDescent="0.2">
      <c r="A57" s="633"/>
      <c r="B57" s="634"/>
      <c r="C57" s="635"/>
      <c r="D57" s="635">
        <f>D55</f>
        <v>10089</v>
      </c>
      <c r="E57" s="635"/>
      <c r="F57" s="635">
        <f>F55</f>
        <v>3306</v>
      </c>
      <c r="G57" s="635"/>
      <c r="H57" s="635"/>
      <c r="K57" s="637"/>
      <c r="L57" s="637">
        <f>L55-(L55*0.025)</f>
        <v>28309.904999999999</v>
      </c>
      <c r="M57" s="637"/>
      <c r="N57" s="805">
        <f>SUM(C57:M57)</f>
        <v>41704.904999999999</v>
      </c>
      <c r="O57" s="806"/>
      <c r="P57" s="636"/>
      <c r="Q57" s="457"/>
    </row>
    <row r="58" spans="1:20" x14ac:dyDescent="0.2">
      <c r="C58" s="640" t="s">
        <v>222</v>
      </c>
      <c r="D58" s="627">
        <v>5985</v>
      </c>
      <c r="F58" s="640" t="s">
        <v>222</v>
      </c>
      <c r="G58" s="640" t="s">
        <v>222</v>
      </c>
      <c r="H58" s="640"/>
      <c r="J58" s="640" t="s">
        <v>222</v>
      </c>
      <c r="K58" s="640" t="s">
        <v>222</v>
      </c>
      <c r="L58" s="640" t="s">
        <v>222</v>
      </c>
      <c r="M58" s="640" t="s">
        <v>222</v>
      </c>
      <c r="N58" s="807">
        <f>C55+E55+G55+I55+J55</f>
        <v>54321</v>
      </c>
      <c r="O58" s="808"/>
    </row>
    <row r="59" spans="1:20" x14ac:dyDescent="0.2">
      <c r="N59" s="803">
        <f>N57+N58</f>
        <v>96025.904999999999</v>
      </c>
      <c r="O59" s="804"/>
    </row>
  </sheetData>
  <mergeCells count="45">
    <mergeCell ref="A24:A27"/>
    <mergeCell ref="I24:I27"/>
    <mergeCell ref="I16:I17"/>
    <mergeCell ref="A18:A19"/>
    <mergeCell ref="A21:A23"/>
    <mergeCell ref="I21:I23"/>
    <mergeCell ref="A50:B50"/>
    <mergeCell ref="A51:B51"/>
    <mergeCell ref="A53:B53"/>
    <mergeCell ref="J4:L4"/>
    <mergeCell ref="G2:G4"/>
    <mergeCell ref="C3:D3"/>
    <mergeCell ref="E3:F3"/>
    <mergeCell ref="I14:I15"/>
    <mergeCell ref="I5:I13"/>
    <mergeCell ref="A5:A13"/>
    <mergeCell ref="I18:I19"/>
    <mergeCell ref="A52:B52"/>
    <mergeCell ref="A28:A29"/>
    <mergeCell ref="I28:I29"/>
    <mergeCell ref="A38:B38"/>
    <mergeCell ref="A48:B48"/>
    <mergeCell ref="A46:B46"/>
    <mergeCell ref="A41:B41"/>
    <mergeCell ref="A40:B40"/>
    <mergeCell ref="A43:B43"/>
    <mergeCell ref="A42:B42"/>
    <mergeCell ref="A45:B45"/>
    <mergeCell ref="A44:B44"/>
    <mergeCell ref="A14:A15"/>
    <mergeCell ref="A16:A17"/>
    <mergeCell ref="N57:O57"/>
    <mergeCell ref="N58:O58"/>
    <mergeCell ref="N59:O59"/>
    <mergeCell ref="A54:B54"/>
    <mergeCell ref="C31:D31"/>
    <mergeCell ref="A47:B47"/>
    <mergeCell ref="A49:B49"/>
    <mergeCell ref="I30:L31"/>
    <mergeCell ref="A30:B30"/>
    <mergeCell ref="E31:F31"/>
    <mergeCell ref="N55:O55"/>
    <mergeCell ref="A36:B36"/>
    <mergeCell ref="A37:B37"/>
    <mergeCell ref="A39:B39"/>
  </mergeCells>
  <printOptions horizontalCentered="1"/>
  <pageMargins left="0.15748031496062992" right="0.15748031496062992" top="0.35433070866141736" bottom="0.55118110236220474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68"/>
  <sheetViews>
    <sheetView zoomScaleNormal="100" workbookViewId="0">
      <selection activeCell="A2" sqref="A2"/>
    </sheetView>
  </sheetViews>
  <sheetFormatPr defaultColWidth="8.85546875" defaultRowHeight="12.75" x14ac:dyDescent="0.2"/>
  <cols>
    <col min="1" max="1" width="5.5703125" style="6" customWidth="1"/>
    <col min="2" max="2" width="10.7109375" style="6" customWidth="1"/>
    <col min="3" max="3" width="10.85546875" style="6" customWidth="1"/>
    <col min="4" max="4" width="10.7109375" style="6" customWidth="1"/>
    <col min="5" max="5" width="10.85546875" style="6" customWidth="1"/>
    <col min="6" max="6" width="10.7109375" style="6" customWidth="1"/>
    <col min="7" max="7" width="11" style="6" customWidth="1"/>
    <col min="8" max="8" width="10.85546875" style="6" customWidth="1"/>
    <col min="9" max="11" width="10.7109375" style="6" customWidth="1"/>
    <col min="12" max="12" width="11" style="6" customWidth="1"/>
    <col min="13" max="13" width="10.7109375" style="6" customWidth="1"/>
    <col min="14" max="14" width="12.28515625" style="6" customWidth="1"/>
    <col min="15" max="16384" width="8.85546875" style="6"/>
  </cols>
  <sheetData>
    <row r="1" spans="1:14" ht="16.899999999999999" customHeight="1" x14ac:dyDescent="0.2">
      <c r="A1" s="686" t="s">
        <v>95</v>
      </c>
      <c r="B1" s="686"/>
      <c r="C1" s="686"/>
      <c r="D1" s="686"/>
      <c r="E1" s="686"/>
      <c r="F1" s="686"/>
      <c r="G1" s="686"/>
      <c r="H1" s="686"/>
      <c r="I1" s="686"/>
      <c r="J1" s="686"/>
      <c r="K1" s="686"/>
      <c r="L1" s="686"/>
      <c r="M1" s="686"/>
      <c r="N1" s="686"/>
    </row>
    <row r="2" spans="1:14" ht="10.15" customHeight="1" thickBot="1" x14ac:dyDescent="0.25"/>
    <row r="3" spans="1:14" s="15" customFormat="1" ht="17.649999999999999" customHeight="1" thickBot="1" x14ac:dyDescent="0.25">
      <c r="B3" s="83">
        <v>41699</v>
      </c>
      <c r="C3" s="16">
        <v>41730</v>
      </c>
      <c r="D3" s="16">
        <v>41760</v>
      </c>
      <c r="E3" s="16">
        <v>41791</v>
      </c>
      <c r="F3" s="16">
        <v>41821</v>
      </c>
      <c r="G3" s="16">
        <v>41852</v>
      </c>
      <c r="H3" s="16">
        <v>41883</v>
      </c>
      <c r="I3" s="16">
        <v>41913</v>
      </c>
      <c r="J3" s="16">
        <v>41944</v>
      </c>
      <c r="K3" s="16">
        <v>41974</v>
      </c>
      <c r="L3" s="16">
        <v>42005</v>
      </c>
      <c r="M3" s="17">
        <v>42036</v>
      </c>
      <c r="N3" s="18" t="s">
        <v>0</v>
      </c>
    </row>
    <row r="4" spans="1:14" ht="17.649999999999999" customHeight="1" x14ac:dyDescent="0.2">
      <c r="A4" s="60">
        <v>600</v>
      </c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2"/>
      <c r="N4" s="23">
        <f t="shared" ref="N4:N28" si="0">SUM(B4:M4)</f>
        <v>0</v>
      </c>
    </row>
    <row r="5" spans="1:14" ht="17.649999999999999" hidden="1" customHeight="1" x14ac:dyDescent="0.2">
      <c r="A5" s="84" t="s">
        <v>79</v>
      </c>
      <c r="B5" s="85"/>
      <c r="C5" s="86"/>
      <c r="D5" s="86"/>
      <c r="E5" s="86"/>
      <c r="F5" s="86"/>
      <c r="G5" s="86"/>
      <c r="H5" s="86"/>
      <c r="I5" s="86"/>
      <c r="J5" s="86"/>
      <c r="K5" s="86"/>
      <c r="L5" s="86"/>
      <c r="M5" s="87"/>
      <c r="N5" s="28">
        <f t="shared" si="0"/>
        <v>0</v>
      </c>
    </row>
    <row r="6" spans="1:14" ht="17.649999999999999" customHeight="1" x14ac:dyDescent="0.2">
      <c r="A6" s="61" t="s">
        <v>15</v>
      </c>
      <c r="B6" s="25"/>
      <c r="C6" s="26"/>
      <c r="D6" s="26"/>
      <c r="E6" s="26"/>
      <c r="F6" s="26"/>
      <c r="G6" s="26"/>
      <c r="H6" s="26"/>
      <c r="I6" s="26"/>
      <c r="J6" s="26"/>
      <c r="K6" s="26"/>
      <c r="L6" s="26"/>
      <c r="M6" s="27"/>
      <c r="N6" s="28">
        <f t="shared" si="0"/>
        <v>0</v>
      </c>
    </row>
    <row r="7" spans="1:14" ht="17.649999999999999" customHeight="1" x14ac:dyDescent="0.2">
      <c r="A7" s="61" t="s">
        <v>58</v>
      </c>
      <c r="B7" s="25"/>
      <c r="C7" s="26"/>
      <c r="D7" s="26"/>
      <c r="E7" s="26"/>
      <c r="F7" s="26"/>
      <c r="G7" s="26"/>
      <c r="H7" s="26"/>
      <c r="I7" s="26"/>
      <c r="J7" s="26"/>
      <c r="K7" s="26"/>
      <c r="L7" s="26"/>
      <c r="M7" s="27"/>
      <c r="N7" s="28">
        <f t="shared" si="0"/>
        <v>0</v>
      </c>
    </row>
    <row r="8" spans="1:14" ht="17.649999999999999" customHeight="1" x14ac:dyDescent="0.2">
      <c r="A8" s="61" t="s">
        <v>48</v>
      </c>
      <c r="B8" s="25"/>
      <c r="C8" s="26"/>
      <c r="D8" s="26"/>
      <c r="E8" s="26"/>
      <c r="F8" s="26"/>
      <c r="G8" s="26"/>
      <c r="H8" s="26"/>
      <c r="I8" s="26"/>
      <c r="J8" s="26"/>
      <c r="K8" s="26"/>
      <c r="L8" s="26"/>
      <c r="M8" s="27"/>
      <c r="N8" s="28">
        <f>SUM(B8:M8)</f>
        <v>0</v>
      </c>
    </row>
    <row r="9" spans="1:14" ht="17.649999999999999" customHeight="1" x14ac:dyDescent="0.2">
      <c r="A9" s="61" t="s">
        <v>11</v>
      </c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7"/>
      <c r="N9" s="28">
        <f t="shared" si="0"/>
        <v>0</v>
      </c>
    </row>
    <row r="10" spans="1:14" ht="17.649999999999999" customHeight="1" x14ac:dyDescent="0.2">
      <c r="A10" s="61" t="s">
        <v>44</v>
      </c>
      <c r="B10" s="25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7"/>
      <c r="N10" s="28">
        <f>SUM(B10:M10)</f>
        <v>0</v>
      </c>
    </row>
    <row r="11" spans="1:14" ht="17.649999999999999" customHeight="1" x14ac:dyDescent="0.2">
      <c r="A11" s="61" t="s">
        <v>74</v>
      </c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7"/>
      <c r="N11" s="28">
        <f>SUM(B11:M11)</f>
        <v>0</v>
      </c>
    </row>
    <row r="12" spans="1:14" ht="17.649999999999999" customHeight="1" x14ac:dyDescent="0.2">
      <c r="A12" s="61" t="s">
        <v>42</v>
      </c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7"/>
      <c r="N12" s="28">
        <f>SUM(B12:M12)</f>
        <v>0</v>
      </c>
    </row>
    <row r="13" spans="1:14" ht="17.649999999999999" customHeight="1" x14ac:dyDescent="0.2">
      <c r="A13" s="61" t="s">
        <v>10</v>
      </c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7"/>
      <c r="N13" s="28">
        <f t="shared" si="0"/>
        <v>0</v>
      </c>
    </row>
    <row r="14" spans="1:14" ht="17.649999999999999" customHeight="1" x14ac:dyDescent="0.2">
      <c r="A14" s="61" t="s">
        <v>77</v>
      </c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7"/>
      <c r="N14" s="28">
        <f t="shared" si="0"/>
        <v>0</v>
      </c>
    </row>
    <row r="15" spans="1:14" ht="17.649999999999999" customHeight="1" x14ac:dyDescent="0.2">
      <c r="A15" s="61" t="s">
        <v>80</v>
      </c>
      <c r="B15" s="25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7"/>
      <c r="N15" s="28">
        <f t="shared" si="0"/>
        <v>0</v>
      </c>
    </row>
    <row r="16" spans="1:14" ht="17.649999999999999" customHeight="1" x14ac:dyDescent="0.2">
      <c r="A16" s="61" t="s">
        <v>27</v>
      </c>
      <c r="B16" s="25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7"/>
      <c r="N16" s="28">
        <f t="shared" si="0"/>
        <v>0</v>
      </c>
    </row>
    <row r="17" spans="1:14" ht="17.649999999999999" customHeight="1" x14ac:dyDescent="0.2">
      <c r="A17" s="61" t="s">
        <v>13</v>
      </c>
      <c r="B17" s="25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7"/>
      <c r="N17" s="28">
        <f t="shared" si="0"/>
        <v>0</v>
      </c>
    </row>
    <row r="18" spans="1:14" ht="17.649999999999999" customHeight="1" x14ac:dyDescent="0.2">
      <c r="A18" s="61" t="s">
        <v>14</v>
      </c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7"/>
      <c r="N18" s="28">
        <f t="shared" si="0"/>
        <v>0</v>
      </c>
    </row>
    <row r="19" spans="1:14" ht="17.649999999999999" customHeight="1" x14ac:dyDescent="0.2">
      <c r="A19" s="61" t="s">
        <v>72</v>
      </c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7"/>
      <c r="N19" s="28">
        <f t="shared" si="0"/>
        <v>0</v>
      </c>
    </row>
    <row r="20" spans="1:14" ht="17.649999999999999" customHeight="1" x14ac:dyDescent="0.2">
      <c r="A20" s="61" t="s">
        <v>94</v>
      </c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7"/>
      <c r="N20" s="28">
        <f t="shared" si="0"/>
        <v>0</v>
      </c>
    </row>
    <row r="21" spans="1:14" ht="17.649999999999999" customHeight="1" x14ac:dyDescent="0.2">
      <c r="A21" s="61" t="s">
        <v>12</v>
      </c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7"/>
      <c r="N21" s="28">
        <f t="shared" si="0"/>
        <v>0</v>
      </c>
    </row>
    <row r="22" spans="1:14" ht="17.649999999999999" customHeight="1" x14ac:dyDescent="0.2">
      <c r="A22" s="61" t="s">
        <v>49</v>
      </c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7"/>
      <c r="N22" s="28">
        <f t="shared" si="0"/>
        <v>0</v>
      </c>
    </row>
    <row r="23" spans="1:14" ht="17.649999999999999" customHeight="1" x14ac:dyDescent="0.2">
      <c r="A23" s="61" t="s">
        <v>61</v>
      </c>
      <c r="B23" s="25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7"/>
      <c r="N23" s="28">
        <f t="shared" si="0"/>
        <v>0</v>
      </c>
    </row>
    <row r="24" spans="1:14" ht="17.649999999999999" customHeight="1" x14ac:dyDescent="0.2">
      <c r="A24" s="61" t="s">
        <v>92</v>
      </c>
      <c r="B24" s="25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7"/>
      <c r="N24" s="28">
        <f t="shared" si="0"/>
        <v>0</v>
      </c>
    </row>
    <row r="25" spans="1:14" ht="17.649999999999999" customHeight="1" x14ac:dyDescent="0.2">
      <c r="A25" s="61" t="s">
        <v>9</v>
      </c>
      <c r="B25" s="25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7"/>
      <c r="N25" s="28">
        <f t="shared" si="0"/>
        <v>0</v>
      </c>
    </row>
    <row r="26" spans="1:14" ht="17.649999999999999" customHeight="1" x14ac:dyDescent="0.2">
      <c r="A26" s="61" t="s">
        <v>47</v>
      </c>
      <c r="B26" s="25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7"/>
      <c r="N26" s="28">
        <f t="shared" si="0"/>
        <v>0</v>
      </c>
    </row>
    <row r="27" spans="1:14" ht="17.649999999999999" customHeight="1" x14ac:dyDescent="0.2">
      <c r="A27" s="311" t="s">
        <v>16</v>
      </c>
      <c r="B27" s="312"/>
      <c r="C27" s="313"/>
      <c r="D27" s="313"/>
      <c r="E27" s="313"/>
      <c r="F27" s="313"/>
      <c r="G27" s="313"/>
      <c r="H27" s="313"/>
      <c r="I27" s="313"/>
      <c r="J27" s="313"/>
      <c r="K27" s="313"/>
      <c r="L27" s="313"/>
      <c r="M27" s="314"/>
      <c r="N27" s="28">
        <f t="shared" si="0"/>
        <v>0</v>
      </c>
    </row>
    <row r="28" spans="1:14" ht="17.649999999999999" customHeight="1" thickBot="1" x14ac:dyDescent="0.25">
      <c r="A28" s="62" t="s">
        <v>91</v>
      </c>
      <c r="B28" s="30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2"/>
      <c r="N28" s="33">
        <f t="shared" si="0"/>
        <v>0</v>
      </c>
    </row>
    <row r="29" spans="1:14" ht="17.649999999999999" customHeight="1" thickTop="1" thickBot="1" x14ac:dyDescent="0.25">
      <c r="B29" s="34">
        <f t="shared" ref="B29:N29" si="1">SUM(B4:B28)</f>
        <v>0</v>
      </c>
      <c r="C29" s="35">
        <f t="shared" si="1"/>
        <v>0</v>
      </c>
      <c r="D29" s="35">
        <f>SUM(D4:D28)</f>
        <v>0</v>
      </c>
      <c r="E29" s="35">
        <f>SUM(E4:E28)</f>
        <v>0</v>
      </c>
      <c r="F29" s="35">
        <f t="shared" si="1"/>
        <v>0</v>
      </c>
      <c r="G29" s="36">
        <f t="shared" si="1"/>
        <v>0</v>
      </c>
      <c r="H29" s="35">
        <f t="shared" si="1"/>
        <v>0</v>
      </c>
      <c r="I29" s="35">
        <f t="shared" si="1"/>
        <v>0</v>
      </c>
      <c r="J29" s="35">
        <f t="shared" si="1"/>
        <v>0</v>
      </c>
      <c r="K29" s="35">
        <f>SUM(K4:K28)</f>
        <v>0</v>
      </c>
      <c r="L29" s="35">
        <f t="shared" si="1"/>
        <v>0</v>
      </c>
      <c r="M29" s="46">
        <f t="shared" si="1"/>
        <v>0</v>
      </c>
      <c r="N29" s="47">
        <f t="shared" si="1"/>
        <v>0</v>
      </c>
    </row>
    <row r="30" spans="1:14" ht="10.5" customHeight="1" x14ac:dyDescent="0.2">
      <c r="B30" s="37"/>
      <c r="C30" s="37"/>
      <c r="D30" s="37"/>
      <c r="E30" s="37"/>
      <c r="F30" s="37"/>
      <c r="G30" s="38"/>
      <c r="H30" s="37"/>
      <c r="I30" s="37"/>
      <c r="J30" s="37"/>
      <c r="K30" s="37"/>
      <c r="L30" s="37"/>
      <c r="M30" s="37"/>
      <c r="N30" s="72"/>
    </row>
    <row r="31" spans="1:14" ht="14.1" customHeight="1" x14ac:dyDescent="0.2">
      <c r="B31" s="689" t="s">
        <v>68</v>
      </c>
      <c r="C31" s="689"/>
      <c r="D31" s="76"/>
      <c r="E31" s="76"/>
      <c r="F31" s="76"/>
      <c r="G31" s="77"/>
      <c r="H31" s="76"/>
      <c r="I31" s="37"/>
      <c r="J31" s="37"/>
      <c r="K31" s="37"/>
      <c r="L31" s="37"/>
      <c r="M31" s="37"/>
      <c r="N31" s="72"/>
    </row>
    <row r="32" spans="1:14" ht="14.1" customHeight="1" x14ac:dyDescent="0.2">
      <c r="B32" s="78" t="s">
        <v>64</v>
      </c>
      <c r="C32" s="80"/>
      <c r="D32" s="76"/>
      <c r="E32" s="687">
        <f>MAX(N4:N28)</f>
        <v>0</v>
      </c>
      <c r="F32" s="688"/>
      <c r="G32" s="77"/>
      <c r="H32" s="76"/>
      <c r="I32" s="37"/>
      <c r="J32" s="37"/>
      <c r="K32" s="37"/>
      <c r="L32" s="37"/>
      <c r="M32" s="37"/>
      <c r="N32" s="72"/>
    </row>
    <row r="33" spans="2:15" ht="14.1" customHeight="1" x14ac:dyDescent="0.2">
      <c r="B33" s="78" t="s">
        <v>65</v>
      </c>
      <c r="C33" s="80"/>
      <c r="D33" s="76"/>
      <c r="E33" s="687"/>
      <c r="F33" s="688"/>
      <c r="G33" s="77"/>
      <c r="H33" s="76"/>
      <c r="I33" s="37"/>
      <c r="J33" s="37"/>
      <c r="K33" s="37"/>
      <c r="L33" s="37"/>
      <c r="M33" s="37"/>
      <c r="N33" s="72"/>
    </row>
    <row r="34" spans="2:15" ht="14.1" customHeight="1" x14ac:dyDescent="0.2">
      <c r="B34" s="79" t="s">
        <v>66</v>
      </c>
      <c r="C34" s="81"/>
      <c r="D34" s="75"/>
      <c r="E34" s="685"/>
      <c r="F34" s="685"/>
      <c r="G34" s="75"/>
      <c r="H34" s="75"/>
      <c r="L34" s="37"/>
      <c r="M34" s="37"/>
      <c r="N34" s="37"/>
      <c r="O34" s="37"/>
    </row>
    <row r="35" spans="2:15" ht="14.1" customHeight="1" x14ac:dyDescent="0.2">
      <c r="B35" s="78" t="s">
        <v>69</v>
      </c>
      <c r="C35" s="81"/>
      <c r="D35" s="75"/>
      <c r="E35" s="685"/>
      <c r="F35" s="685"/>
      <c r="G35" s="75"/>
      <c r="H35" s="75"/>
      <c r="L35" s="37"/>
      <c r="M35" s="37"/>
      <c r="N35" s="37"/>
      <c r="O35" s="37"/>
    </row>
    <row r="36" spans="2:15" ht="14.1" customHeight="1" x14ac:dyDescent="0.2">
      <c r="B36" s="79" t="s">
        <v>70</v>
      </c>
      <c r="C36" s="81"/>
      <c r="D36" s="75"/>
      <c r="E36" s="685"/>
      <c r="F36" s="685"/>
      <c r="G36" s="75"/>
      <c r="H36" s="75"/>
      <c r="L36" s="37"/>
      <c r="M36" s="37"/>
      <c r="N36" s="37"/>
      <c r="O36" s="37"/>
    </row>
    <row r="37" spans="2:15" ht="14.1" customHeight="1" x14ac:dyDescent="0.2">
      <c r="B37" s="79"/>
      <c r="C37" s="81"/>
      <c r="D37" s="75"/>
      <c r="E37" s="82"/>
      <c r="F37" s="82"/>
      <c r="G37" s="75"/>
      <c r="H37" s="75"/>
      <c r="L37" s="37"/>
      <c r="M37" s="37"/>
      <c r="N37" s="37"/>
      <c r="O37" s="37"/>
    </row>
    <row r="38" spans="2:15" ht="17.850000000000001" customHeight="1" x14ac:dyDescent="0.2">
      <c r="L38" s="37"/>
      <c r="M38" s="37"/>
      <c r="N38" s="37"/>
      <c r="O38" s="37"/>
    </row>
    <row r="39" spans="2:15" ht="17.850000000000001" customHeight="1" x14ac:dyDescent="0.2">
      <c r="L39" s="37"/>
      <c r="M39" s="37"/>
      <c r="N39" s="37"/>
      <c r="O39" s="37"/>
    </row>
    <row r="40" spans="2:15" ht="17.850000000000001" customHeight="1" x14ac:dyDescent="0.2">
      <c r="L40" s="37"/>
      <c r="M40" s="37"/>
      <c r="N40" s="37"/>
      <c r="O40" s="37"/>
    </row>
    <row r="41" spans="2:15" ht="17.850000000000001" customHeight="1" thickBot="1" x14ac:dyDescent="0.25">
      <c r="L41" s="37"/>
      <c r="M41" s="37"/>
      <c r="N41" s="37"/>
    </row>
    <row r="42" spans="2:15" ht="17.850000000000001" customHeight="1" x14ac:dyDescent="0.2">
      <c r="K42" s="19">
        <v>600</v>
      </c>
      <c r="L42" s="63" t="s">
        <v>67</v>
      </c>
      <c r="M42" s="64"/>
      <c r="N42" s="65"/>
    </row>
    <row r="43" spans="2:15" ht="17.850000000000001" customHeight="1" x14ac:dyDescent="0.2">
      <c r="K43" s="88" t="s">
        <v>79</v>
      </c>
      <c r="L43" s="89" t="s">
        <v>78</v>
      </c>
      <c r="M43" s="90"/>
      <c r="N43" s="91"/>
    </row>
    <row r="44" spans="2:15" ht="17.850000000000001" customHeight="1" x14ac:dyDescent="0.2">
      <c r="K44" s="24" t="s">
        <v>15</v>
      </c>
      <c r="L44" s="66" t="s">
        <v>28</v>
      </c>
      <c r="M44" s="67"/>
      <c r="N44" s="68"/>
    </row>
    <row r="45" spans="2:15" ht="17.850000000000001" customHeight="1" x14ac:dyDescent="0.2">
      <c r="K45" s="24" t="s">
        <v>58</v>
      </c>
      <c r="L45" s="66" t="s">
        <v>59</v>
      </c>
      <c r="M45" s="67"/>
      <c r="N45" s="68"/>
    </row>
    <row r="46" spans="2:15" ht="17.850000000000001" customHeight="1" x14ac:dyDescent="0.2">
      <c r="K46" s="24" t="s">
        <v>48</v>
      </c>
      <c r="L46" s="66" t="s">
        <v>57</v>
      </c>
      <c r="M46" s="67"/>
      <c r="N46" s="68"/>
    </row>
    <row r="47" spans="2:15" ht="17.850000000000001" customHeight="1" x14ac:dyDescent="0.2">
      <c r="K47" s="24" t="s">
        <v>11</v>
      </c>
      <c r="L47" s="66" t="s">
        <v>29</v>
      </c>
      <c r="M47" s="67"/>
      <c r="N47" s="68"/>
    </row>
    <row r="48" spans="2:15" ht="17.850000000000001" customHeight="1" x14ac:dyDescent="0.2">
      <c r="K48" s="24" t="s">
        <v>44</v>
      </c>
      <c r="L48" s="51" t="s">
        <v>45</v>
      </c>
      <c r="M48" s="49"/>
      <c r="N48" s="50"/>
    </row>
    <row r="49" spans="11:14" ht="17.850000000000001" customHeight="1" x14ac:dyDescent="0.2">
      <c r="K49" s="24" t="s">
        <v>74</v>
      </c>
      <c r="L49" s="66" t="s">
        <v>75</v>
      </c>
      <c r="M49" s="67"/>
      <c r="N49" s="68"/>
    </row>
    <row r="50" spans="11:14" ht="17.850000000000001" customHeight="1" x14ac:dyDescent="0.2">
      <c r="K50" s="24" t="s">
        <v>42</v>
      </c>
      <c r="L50" s="66" t="s">
        <v>46</v>
      </c>
      <c r="M50" s="67"/>
      <c r="N50" s="68"/>
    </row>
    <row r="51" spans="11:14" ht="17.850000000000001" customHeight="1" x14ac:dyDescent="0.2">
      <c r="K51" s="24" t="s">
        <v>10</v>
      </c>
      <c r="L51" s="66" t="s">
        <v>30</v>
      </c>
      <c r="M51" s="67"/>
      <c r="N51" s="68"/>
    </row>
    <row r="52" spans="11:14" ht="17.850000000000001" customHeight="1" x14ac:dyDescent="0.2">
      <c r="K52" s="24" t="s">
        <v>77</v>
      </c>
      <c r="L52" s="66" t="s">
        <v>76</v>
      </c>
      <c r="M52" s="67"/>
      <c r="N52" s="68"/>
    </row>
    <row r="53" spans="11:14" ht="17.850000000000001" customHeight="1" x14ac:dyDescent="0.2">
      <c r="K53" s="24" t="s">
        <v>80</v>
      </c>
      <c r="L53" s="66" t="s">
        <v>81</v>
      </c>
      <c r="M53" s="67"/>
      <c r="N53" s="68"/>
    </row>
    <row r="54" spans="11:14" ht="17.850000000000001" customHeight="1" x14ac:dyDescent="0.2">
      <c r="K54" s="24" t="s">
        <v>27</v>
      </c>
      <c r="L54" s="66" t="s">
        <v>34</v>
      </c>
      <c r="M54" s="67"/>
      <c r="N54" s="68"/>
    </row>
    <row r="55" spans="11:14" ht="17.850000000000001" customHeight="1" x14ac:dyDescent="0.2">
      <c r="K55" s="24" t="s">
        <v>13</v>
      </c>
      <c r="L55" s="66" t="s">
        <v>31</v>
      </c>
      <c r="M55" s="67"/>
      <c r="N55" s="68"/>
    </row>
    <row r="56" spans="11:14" ht="17.850000000000001" customHeight="1" x14ac:dyDescent="0.2">
      <c r="K56" s="24" t="s">
        <v>14</v>
      </c>
      <c r="L56" s="66" t="s">
        <v>32</v>
      </c>
      <c r="M56" s="67"/>
      <c r="N56" s="68"/>
    </row>
    <row r="57" spans="11:14" ht="17.850000000000001" customHeight="1" x14ac:dyDescent="0.2">
      <c r="K57" s="24" t="s">
        <v>72</v>
      </c>
      <c r="L57" s="66" t="s">
        <v>73</v>
      </c>
      <c r="M57" s="67"/>
      <c r="N57" s="68"/>
    </row>
    <row r="58" spans="11:14" ht="17.850000000000001" customHeight="1" x14ac:dyDescent="0.2">
      <c r="K58" s="24" t="s">
        <v>12</v>
      </c>
      <c r="L58" s="66" t="s">
        <v>33</v>
      </c>
      <c r="M58" s="67"/>
      <c r="N58" s="68"/>
    </row>
    <row r="59" spans="11:14" ht="17.850000000000001" customHeight="1" x14ac:dyDescent="0.2">
      <c r="K59" s="24" t="s">
        <v>49</v>
      </c>
      <c r="L59" s="66" t="s">
        <v>71</v>
      </c>
      <c r="M59" s="67"/>
      <c r="N59" s="68"/>
    </row>
    <row r="60" spans="11:14" ht="17.850000000000001" customHeight="1" x14ac:dyDescent="0.2">
      <c r="K60" s="24" t="s">
        <v>61</v>
      </c>
      <c r="L60" s="51" t="s">
        <v>62</v>
      </c>
      <c r="M60" s="49"/>
      <c r="N60" s="50"/>
    </row>
    <row r="61" spans="11:14" ht="17.850000000000001" customHeight="1" x14ac:dyDescent="0.2">
      <c r="K61" s="24" t="s">
        <v>92</v>
      </c>
      <c r="L61" s="51" t="s">
        <v>93</v>
      </c>
      <c r="M61" s="49"/>
      <c r="N61" s="50"/>
    </row>
    <row r="62" spans="11:14" ht="17.850000000000001" customHeight="1" x14ac:dyDescent="0.2">
      <c r="K62" s="24" t="s">
        <v>9</v>
      </c>
      <c r="L62" s="66" t="s">
        <v>43</v>
      </c>
      <c r="M62" s="67"/>
      <c r="N62" s="68"/>
    </row>
    <row r="63" spans="11:14" ht="17.850000000000001" customHeight="1" x14ac:dyDescent="0.2">
      <c r="K63" s="24" t="s">
        <v>47</v>
      </c>
      <c r="L63" s="66" t="s">
        <v>40</v>
      </c>
      <c r="M63" s="67"/>
      <c r="N63" s="68"/>
    </row>
    <row r="64" spans="11:14" ht="17.850000000000001" customHeight="1" thickBot="1" x14ac:dyDescent="0.25">
      <c r="K64" s="29" t="s">
        <v>16</v>
      </c>
      <c r="L64" s="69" t="s">
        <v>35</v>
      </c>
      <c r="M64" s="70"/>
      <c r="N64" s="71"/>
    </row>
    <row r="65" ht="17.850000000000001" customHeight="1" x14ac:dyDescent="0.2"/>
    <row r="66" ht="17.850000000000001" customHeight="1" x14ac:dyDescent="0.2"/>
    <row r="67" ht="17.850000000000001" customHeight="1" x14ac:dyDescent="0.2"/>
    <row r="68" ht="17.850000000000001" customHeight="1" x14ac:dyDescent="0.2"/>
  </sheetData>
  <mergeCells count="7">
    <mergeCell ref="E35:F35"/>
    <mergeCell ref="E36:F36"/>
    <mergeCell ref="A1:N1"/>
    <mergeCell ref="E32:F32"/>
    <mergeCell ref="E33:F33"/>
    <mergeCell ref="E34:F34"/>
    <mergeCell ref="B31:C31"/>
  </mergeCells>
  <phoneticPr fontId="0" type="noConversion"/>
  <printOptions horizontalCentered="1"/>
  <pageMargins left="0" right="0" top="0.27559055118110237" bottom="0.19685039370078741" header="0.51181102362204722" footer="0.51181102362204722"/>
  <pageSetup paperSize="9" orientation="landscape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71"/>
  <sheetViews>
    <sheetView zoomScaleNormal="100" workbookViewId="0">
      <pane ySplit="4" topLeftCell="A5" activePane="bottomLeft" state="frozenSplit"/>
      <selection pane="bottomLeft" activeCell="I22" sqref="I22"/>
    </sheetView>
  </sheetViews>
  <sheetFormatPr defaultRowHeight="12.75" x14ac:dyDescent="0.2"/>
  <cols>
    <col min="1" max="1" width="2.42578125" style="296" customWidth="1"/>
    <col min="2" max="2" width="6.42578125" style="143" customWidth="1"/>
    <col min="3" max="4" width="10.7109375" style="257" customWidth="1"/>
    <col min="5" max="5" width="11.28515625" style="257" customWidth="1"/>
    <col min="6" max="6" width="10.85546875" style="257" customWidth="1"/>
    <col min="7" max="7" width="6" style="1" customWidth="1"/>
    <col min="8" max="8" width="11" customWidth="1"/>
    <col min="9" max="9" width="11.28515625" customWidth="1"/>
    <col min="10" max="10" width="10.42578125" customWidth="1"/>
    <col min="11" max="13" width="10.7109375" customWidth="1"/>
    <col min="14" max="14" width="10.7109375" style="161" customWidth="1"/>
    <col min="15" max="15" width="10.7109375" customWidth="1"/>
    <col min="16" max="16" width="14.140625" customWidth="1"/>
    <col min="17" max="17" width="13.28515625" customWidth="1"/>
    <col min="18" max="18" width="13.7109375" customWidth="1"/>
    <col min="19" max="19" width="13.140625" customWidth="1"/>
  </cols>
  <sheetData>
    <row r="1" spans="1:16" ht="15" x14ac:dyDescent="0.25">
      <c r="A1" s="100" t="s">
        <v>109</v>
      </c>
      <c r="C1" s="3"/>
      <c r="D1" s="1"/>
      <c r="E1" s="1"/>
      <c r="F1" s="1"/>
      <c r="O1" s="292"/>
    </row>
    <row r="2" spans="1:16" ht="5.25" customHeight="1" thickBot="1" x14ac:dyDescent="0.25">
      <c r="A2" s="2"/>
      <c r="C2" s="209"/>
      <c r="D2" s="210"/>
      <c r="E2" s="210"/>
      <c r="F2" s="210"/>
      <c r="G2" s="716" t="s">
        <v>87</v>
      </c>
      <c r="H2" s="212"/>
      <c r="O2" s="292"/>
    </row>
    <row r="3" spans="1:16" ht="17.25" customHeight="1" x14ac:dyDescent="0.2">
      <c r="A3" s="2"/>
      <c r="C3" s="718" t="s">
        <v>83</v>
      </c>
      <c r="D3" s="719"/>
      <c r="E3" s="718" t="s">
        <v>82</v>
      </c>
      <c r="F3" s="719"/>
      <c r="G3" s="716"/>
      <c r="H3" s="212"/>
      <c r="O3" s="292"/>
    </row>
    <row r="4" spans="1:16" ht="13.5" thickBot="1" x14ac:dyDescent="0.25">
      <c r="A4" s="385" t="s">
        <v>6</v>
      </c>
      <c r="B4" s="368" t="s">
        <v>18</v>
      </c>
      <c r="C4" s="113" t="s">
        <v>7</v>
      </c>
      <c r="D4" s="114" t="s">
        <v>8</v>
      </c>
      <c r="E4" s="113" t="s">
        <v>86</v>
      </c>
      <c r="F4" s="114" t="s">
        <v>8</v>
      </c>
      <c r="G4" s="717"/>
      <c r="H4" s="381" t="s">
        <v>0</v>
      </c>
      <c r="I4" s="715" t="s">
        <v>19</v>
      </c>
      <c r="J4" s="715"/>
      <c r="K4" s="715"/>
      <c r="O4" s="292"/>
    </row>
    <row r="5" spans="1:16" x14ac:dyDescent="0.2">
      <c r="A5" s="702" t="s">
        <v>113</v>
      </c>
      <c r="B5" s="358" t="s">
        <v>110</v>
      </c>
      <c r="C5" s="454"/>
      <c r="D5" s="415">
        <v>6840</v>
      </c>
      <c r="E5" s="318"/>
      <c r="F5" s="221"/>
      <c r="G5" s="373"/>
      <c r="H5" s="720">
        <f>SUM(C5:G7)</f>
        <v>15732</v>
      </c>
      <c r="I5" s="67" t="s">
        <v>114</v>
      </c>
      <c r="J5" s="73"/>
      <c r="K5" s="74"/>
      <c r="L5" s="160" t="s">
        <v>115</v>
      </c>
      <c r="N5" s="231" t="s">
        <v>116</v>
      </c>
    </row>
    <row r="6" spans="1:16" x14ac:dyDescent="0.2">
      <c r="A6" s="704"/>
      <c r="B6" s="145" t="s">
        <v>111</v>
      </c>
      <c r="C6" s="428"/>
      <c r="D6" s="120">
        <v>6840</v>
      </c>
      <c r="E6" s="327"/>
      <c r="F6" s="120"/>
      <c r="G6" s="125"/>
      <c r="H6" s="695"/>
      <c r="I6" s="67" t="s">
        <v>114</v>
      </c>
      <c r="J6" s="73"/>
      <c r="K6" s="74"/>
      <c r="L6" s="160" t="s">
        <v>115</v>
      </c>
      <c r="N6" s="227" t="s">
        <v>116</v>
      </c>
      <c r="O6" s="293"/>
      <c r="P6" s="226"/>
    </row>
    <row r="7" spans="1:16" x14ac:dyDescent="0.2">
      <c r="A7" s="703"/>
      <c r="B7" s="145" t="s">
        <v>112</v>
      </c>
      <c r="C7" s="119"/>
      <c r="D7" s="120">
        <v>2052</v>
      </c>
      <c r="E7" s="225"/>
      <c r="F7" s="120"/>
      <c r="G7" s="125"/>
      <c r="H7" s="696"/>
      <c r="I7" s="67" t="s">
        <v>114</v>
      </c>
      <c r="J7" s="73"/>
      <c r="K7" s="74"/>
      <c r="L7" s="160" t="s">
        <v>115</v>
      </c>
      <c r="M7" s="160"/>
      <c r="N7" s="227" t="s">
        <v>116</v>
      </c>
      <c r="O7" s="292"/>
    </row>
    <row r="8" spans="1:16" x14ac:dyDescent="0.2">
      <c r="A8" s="702" t="s">
        <v>117</v>
      </c>
      <c r="B8" s="389" t="s">
        <v>118</v>
      </c>
      <c r="C8" s="391"/>
      <c r="D8" s="216">
        <v>9120</v>
      </c>
      <c r="E8" s="395"/>
      <c r="F8" s="216"/>
      <c r="G8" s="392"/>
      <c r="H8" s="694">
        <f>SUM(C8:G9)</f>
        <v>17328</v>
      </c>
      <c r="I8" s="67" t="s">
        <v>120</v>
      </c>
      <c r="J8" s="73"/>
      <c r="K8" s="74"/>
      <c r="L8" s="283" t="s">
        <v>115</v>
      </c>
      <c r="M8" s="160"/>
      <c r="N8" s="231" t="s">
        <v>116</v>
      </c>
      <c r="O8" s="292"/>
    </row>
    <row r="9" spans="1:16" x14ac:dyDescent="0.2">
      <c r="A9" s="703"/>
      <c r="B9" s="145" t="s">
        <v>119</v>
      </c>
      <c r="C9" s="190"/>
      <c r="D9" s="120">
        <v>8208</v>
      </c>
      <c r="E9" s="225"/>
      <c r="F9" s="120"/>
      <c r="G9" s="125"/>
      <c r="H9" s="696"/>
      <c r="I9" s="67" t="s">
        <v>121</v>
      </c>
      <c r="J9" s="73"/>
      <c r="K9" s="74"/>
      <c r="L9" s="283" t="s">
        <v>115</v>
      </c>
      <c r="M9" s="160"/>
      <c r="N9" s="231" t="s">
        <v>116</v>
      </c>
      <c r="O9" s="292"/>
    </row>
    <row r="10" spans="1:16" x14ac:dyDescent="0.2">
      <c r="A10" s="184" t="s">
        <v>123</v>
      </c>
      <c r="B10" s="145" t="s">
        <v>122</v>
      </c>
      <c r="C10" s="190">
        <v>20588.400000000001</v>
      </c>
      <c r="D10" s="120"/>
      <c r="E10" s="225"/>
      <c r="F10" s="120"/>
      <c r="G10" s="125"/>
      <c r="H10" s="355">
        <f>SUM(C10:G10)</f>
        <v>20588.400000000001</v>
      </c>
      <c r="I10" s="67" t="s">
        <v>124</v>
      </c>
      <c r="J10" s="73"/>
      <c r="K10" s="74"/>
      <c r="L10" s="283" t="s">
        <v>125</v>
      </c>
      <c r="M10" s="160"/>
      <c r="N10" s="227">
        <v>42068</v>
      </c>
      <c r="O10" s="292"/>
    </row>
    <row r="11" spans="1:16" x14ac:dyDescent="0.2">
      <c r="A11" s="702" t="s">
        <v>127</v>
      </c>
      <c r="B11" s="389" t="s">
        <v>126</v>
      </c>
      <c r="C11" s="391"/>
      <c r="D11" s="216">
        <v>58900</v>
      </c>
      <c r="E11" s="395"/>
      <c r="F11" s="216"/>
      <c r="G11" s="392"/>
      <c r="H11" s="694">
        <f>SUM(C11:G19)</f>
        <v>127326</v>
      </c>
      <c r="I11" s="67" t="s">
        <v>130</v>
      </c>
      <c r="J11" s="73"/>
      <c r="K11" s="74"/>
      <c r="L11" s="283" t="s">
        <v>115</v>
      </c>
      <c r="M11" s="160"/>
      <c r="N11" s="227" t="s">
        <v>116</v>
      </c>
      <c r="O11" s="292"/>
    </row>
    <row r="12" spans="1:16" x14ac:dyDescent="0.2">
      <c r="A12" s="704"/>
      <c r="B12" s="288" t="s">
        <v>128</v>
      </c>
      <c r="C12" s="190"/>
      <c r="D12" s="120">
        <v>39640</v>
      </c>
      <c r="E12" s="225"/>
      <c r="F12" s="120"/>
      <c r="G12" s="125"/>
      <c r="H12" s="695"/>
      <c r="I12" s="67" t="s">
        <v>130</v>
      </c>
      <c r="J12" s="73"/>
      <c r="K12" s="74"/>
      <c r="L12" s="283" t="s">
        <v>115</v>
      </c>
      <c r="M12" s="160"/>
      <c r="N12" s="227" t="s">
        <v>116</v>
      </c>
      <c r="O12" s="293"/>
    </row>
    <row r="13" spans="1:16" x14ac:dyDescent="0.2">
      <c r="A13" s="704"/>
      <c r="B13" s="389" t="s">
        <v>129</v>
      </c>
      <c r="C13" s="391"/>
      <c r="D13" s="216">
        <v>11800</v>
      </c>
      <c r="E13" s="395"/>
      <c r="F13" s="216"/>
      <c r="G13" s="392"/>
      <c r="H13" s="695"/>
      <c r="I13" s="67" t="s">
        <v>130</v>
      </c>
      <c r="J13" s="73"/>
      <c r="K13" s="74"/>
      <c r="L13" s="283" t="s">
        <v>115</v>
      </c>
      <c r="M13" s="160"/>
      <c r="N13" s="227" t="s">
        <v>116</v>
      </c>
      <c r="O13" s="293"/>
    </row>
    <row r="14" spans="1:16" x14ac:dyDescent="0.2">
      <c r="A14" s="704"/>
      <c r="B14" s="145" t="s">
        <v>131</v>
      </c>
      <c r="C14" s="190"/>
      <c r="D14" s="120">
        <v>-3636.6</v>
      </c>
      <c r="E14" s="225"/>
      <c r="F14" s="120"/>
      <c r="G14" s="125"/>
      <c r="H14" s="695"/>
      <c r="I14" s="67" t="s">
        <v>120</v>
      </c>
      <c r="J14" s="73"/>
      <c r="K14" s="74"/>
      <c r="L14" s="283" t="s">
        <v>115</v>
      </c>
      <c r="M14" s="160"/>
      <c r="N14" s="227" t="s">
        <v>116</v>
      </c>
      <c r="O14" s="293"/>
    </row>
    <row r="15" spans="1:16" x14ac:dyDescent="0.2">
      <c r="A15" s="704"/>
      <c r="B15" s="145" t="s">
        <v>133</v>
      </c>
      <c r="C15" s="190">
        <v>1824</v>
      </c>
      <c r="D15" s="120"/>
      <c r="E15" s="225"/>
      <c r="F15" s="120"/>
      <c r="G15" s="125"/>
      <c r="H15" s="695"/>
      <c r="I15" s="67" t="s">
        <v>137</v>
      </c>
      <c r="J15" s="73"/>
      <c r="K15" s="74"/>
      <c r="L15" s="283" t="s">
        <v>125</v>
      </c>
      <c r="M15" s="160"/>
      <c r="N15" s="231">
        <v>42072</v>
      </c>
      <c r="O15" s="293"/>
    </row>
    <row r="16" spans="1:16" x14ac:dyDescent="0.2">
      <c r="A16" s="704"/>
      <c r="B16" s="145" t="s">
        <v>132</v>
      </c>
      <c r="C16" s="391">
        <v>5871</v>
      </c>
      <c r="D16" s="216"/>
      <c r="E16" s="395"/>
      <c r="F16" s="216"/>
      <c r="G16" s="392"/>
      <c r="H16" s="695"/>
      <c r="I16" s="67" t="s">
        <v>136</v>
      </c>
      <c r="J16" s="73"/>
      <c r="K16" s="74"/>
      <c r="L16" s="283" t="s">
        <v>125</v>
      </c>
      <c r="M16" s="160"/>
      <c r="N16" s="231">
        <v>42096</v>
      </c>
      <c r="O16" s="292"/>
    </row>
    <row r="17" spans="1:15" x14ac:dyDescent="0.2">
      <c r="A17" s="704"/>
      <c r="B17" s="145" t="s">
        <v>134</v>
      </c>
      <c r="C17" s="190">
        <v>6441</v>
      </c>
      <c r="D17" s="120"/>
      <c r="E17" s="225"/>
      <c r="F17" s="120"/>
      <c r="G17" s="125"/>
      <c r="H17" s="695"/>
      <c r="I17" s="67" t="s">
        <v>135</v>
      </c>
      <c r="J17" s="73"/>
      <c r="K17" s="74"/>
      <c r="L17" s="283" t="s">
        <v>149</v>
      </c>
      <c r="M17" s="160"/>
      <c r="N17" s="231">
        <v>42075</v>
      </c>
      <c r="O17" s="293"/>
    </row>
    <row r="18" spans="1:15" x14ac:dyDescent="0.2">
      <c r="A18" s="704"/>
      <c r="B18" s="145" t="s">
        <v>142</v>
      </c>
      <c r="C18" s="190"/>
      <c r="D18" s="120">
        <v>2382.6</v>
      </c>
      <c r="E18" s="222"/>
      <c r="F18" s="120"/>
      <c r="G18" s="125"/>
      <c r="H18" s="695"/>
      <c r="I18" s="67" t="s">
        <v>143</v>
      </c>
      <c r="J18" s="73"/>
      <c r="K18" s="74"/>
      <c r="L18" s="283" t="s">
        <v>115</v>
      </c>
      <c r="M18" s="160"/>
      <c r="N18" s="227" t="s">
        <v>116</v>
      </c>
      <c r="O18" s="292"/>
    </row>
    <row r="19" spans="1:15" x14ac:dyDescent="0.2">
      <c r="A19" s="703"/>
      <c r="B19" s="389" t="s">
        <v>141</v>
      </c>
      <c r="C19" s="391"/>
      <c r="D19" s="216"/>
      <c r="E19" s="225">
        <v>4104</v>
      </c>
      <c r="F19" s="216"/>
      <c r="G19" s="392"/>
      <c r="H19" s="696"/>
      <c r="I19" s="67" t="s">
        <v>138</v>
      </c>
      <c r="J19" s="73"/>
      <c r="K19" s="74"/>
      <c r="L19" s="283" t="s">
        <v>149</v>
      </c>
      <c r="M19" s="160"/>
      <c r="N19" s="231">
        <v>42073</v>
      </c>
      <c r="O19" s="292"/>
    </row>
    <row r="20" spans="1:15" x14ac:dyDescent="0.2">
      <c r="A20" s="702" t="s">
        <v>139</v>
      </c>
      <c r="B20" s="288" t="s">
        <v>140</v>
      </c>
      <c r="C20" s="190"/>
      <c r="D20" s="120">
        <v>12768</v>
      </c>
      <c r="E20" s="225"/>
      <c r="F20" s="120"/>
      <c r="G20" s="125"/>
      <c r="H20" s="694">
        <f>SUM(C20:G21)</f>
        <v>11947.2</v>
      </c>
      <c r="I20" s="67" t="s">
        <v>144</v>
      </c>
      <c r="J20" s="73"/>
      <c r="K20" s="74"/>
      <c r="L20" s="283" t="s">
        <v>115</v>
      </c>
      <c r="M20" s="160"/>
      <c r="N20" s="227" t="s">
        <v>116</v>
      </c>
      <c r="O20" s="292"/>
    </row>
    <row r="21" spans="1:15" x14ac:dyDescent="0.2">
      <c r="A21" s="703"/>
      <c r="B21" s="144" t="s">
        <v>145</v>
      </c>
      <c r="C21" s="213"/>
      <c r="D21" s="118">
        <v>-820.8</v>
      </c>
      <c r="E21" s="409"/>
      <c r="F21" s="118"/>
      <c r="G21" s="159"/>
      <c r="H21" s="696"/>
      <c r="I21" s="67" t="s">
        <v>114</v>
      </c>
      <c r="J21" s="73"/>
      <c r="K21" s="74"/>
      <c r="L21" s="283" t="s">
        <v>115</v>
      </c>
      <c r="M21" s="160"/>
      <c r="N21" s="227" t="s">
        <v>116</v>
      </c>
      <c r="O21" s="292"/>
    </row>
    <row r="22" spans="1:15" x14ac:dyDescent="0.2">
      <c r="A22" s="383" t="s">
        <v>146</v>
      </c>
      <c r="B22" s="145" t="s">
        <v>147</v>
      </c>
      <c r="C22" s="190">
        <v>4833.6000000000004</v>
      </c>
      <c r="D22" s="120"/>
      <c r="E22" s="225"/>
      <c r="F22" s="120"/>
      <c r="G22" s="125"/>
      <c r="H22" s="478">
        <f>SUM(C22:G22)</f>
        <v>4833.6000000000004</v>
      </c>
      <c r="I22" s="67" t="s">
        <v>148</v>
      </c>
      <c r="J22" s="73"/>
      <c r="K22" s="74"/>
      <c r="L22" s="283" t="s">
        <v>149</v>
      </c>
      <c r="M22" s="160"/>
      <c r="N22" s="231">
        <v>42124</v>
      </c>
      <c r="O22" s="292"/>
    </row>
    <row r="23" spans="1:15" x14ac:dyDescent="0.2">
      <c r="A23" s="383" t="s">
        <v>150</v>
      </c>
      <c r="B23" s="145" t="s">
        <v>151</v>
      </c>
      <c r="C23" s="190"/>
      <c r="D23" s="120">
        <v>855</v>
      </c>
      <c r="E23" s="225"/>
      <c r="F23" s="120"/>
      <c r="G23" s="125"/>
      <c r="H23" s="503">
        <f>SUM(C23:G23)</f>
        <v>855</v>
      </c>
      <c r="I23" s="67" t="s">
        <v>114</v>
      </c>
      <c r="J23" s="73"/>
      <c r="K23" s="74"/>
      <c r="L23" s="283" t="s">
        <v>115</v>
      </c>
      <c r="M23" s="160"/>
      <c r="N23" s="231" t="s">
        <v>116</v>
      </c>
      <c r="O23" s="292"/>
    </row>
    <row r="24" spans="1:15" x14ac:dyDescent="0.2">
      <c r="A24" s="299" t="s">
        <v>152</v>
      </c>
      <c r="B24" s="358" t="s">
        <v>153</v>
      </c>
      <c r="C24" s="359"/>
      <c r="D24" s="221">
        <v>1539</v>
      </c>
      <c r="E24" s="394"/>
      <c r="F24" s="221"/>
      <c r="G24" s="373"/>
      <c r="H24" s="504">
        <f>SUM(C24:G24)</f>
        <v>1539</v>
      </c>
      <c r="I24" s="67" t="s">
        <v>154</v>
      </c>
      <c r="J24" s="73"/>
      <c r="K24" s="74"/>
      <c r="L24" s="283" t="s">
        <v>115</v>
      </c>
      <c r="M24" s="160"/>
      <c r="N24" s="231" t="s">
        <v>116</v>
      </c>
      <c r="O24" s="292"/>
    </row>
    <row r="25" spans="1:15" x14ac:dyDescent="0.2">
      <c r="A25" s="702" t="s">
        <v>155</v>
      </c>
      <c r="B25" s="145" t="s">
        <v>156</v>
      </c>
      <c r="C25" s="119"/>
      <c r="D25" s="120">
        <v>35796</v>
      </c>
      <c r="E25" s="225"/>
      <c r="F25" s="120"/>
      <c r="G25" s="125"/>
      <c r="H25" s="694">
        <f>SUM(C25:G26)</f>
        <v>40743.599999999999</v>
      </c>
      <c r="I25" s="67" t="s">
        <v>157</v>
      </c>
      <c r="J25" s="73"/>
      <c r="K25" s="74"/>
      <c r="L25" s="283" t="s">
        <v>115</v>
      </c>
      <c r="M25" s="160"/>
      <c r="N25" s="231" t="s">
        <v>116</v>
      </c>
      <c r="O25" s="292"/>
    </row>
    <row r="26" spans="1:15" x14ac:dyDescent="0.2">
      <c r="A26" s="703"/>
      <c r="B26" s="144" t="s">
        <v>158</v>
      </c>
      <c r="C26" s="213"/>
      <c r="D26" s="118">
        <v>4947.6000000000004</v>
      </c>
      <c r="E26" s="409"/>
      <c r="F26" s="118"/>
      <c r="G26" s="159"/>
      <c r="H26" s="696"/>
      <c r="I26" s="67" t="s">
        <v>159</v>
      </c>
      <c r="J26" s="73"/>
      <c r="K26" s="74"/>
      <c r="L26" s="283" t="s">
        <v>115</v>
      </c>
      <c r="M26" s="160"/>
      <c r="N26" s="231" t="s">
        <v>116</v>
      </c>
      <c r="O26" s="228"/>
    </row>
    <row r="27" spans="1:15" x14ac:dyDescent="0.2">
      <c r="A27" s="383" t="s">
        <v>162</v>
      </c>
      <c r="B27" s="145" t="s">
        <v>163</v>
      </c>
      <c r="C27" s="119"/>
      <c r="D27" s="120">
        <v>-2052</v>
      </c>
      <c r="E27" s="225"/>
      <c r="F27" s="120"/>
      <c r="G27" s="344"/>
      <c r="H27" s="507">
        <f>SUM(C27:G27)</f>
        <v>-2052</v>
      </c>
      <c r="I27" s="67" t="s">
        <v>114</v>
      </c>
      <c r="J27" s="73"/>
      <c r="K27" s="74"/>
      <c r="L27" s="283" t="s">
        <v>115</v>
      </c>
      <c r="M27" s="160"/>
      <c r="N27" s="231" t="s">
        <v>116</v>
      </c>
      <c r="O27" s="292"/>
    </row>
    <row r="28" spans="1:15" x14ac:dyDescent="0.2">
      <c r="A28" s="383" t="s">
        <v>164</v>
      </c>
      <c r="B28" s="145" t="s">
        <v>165</v>
      </c>
      <c r="C28" s="119"/>
      <c r="D28" s="120"/>
      <c r="E28" s="225">
        <v>11970</v>
      </c>
      <c r="F28" s="120"/>
      <c r="G28" s="344"/>
      <c r="H28" s="508">
        <f>SUM(C28:G28)</f>
        <v>11970</v>
      </c>
      <c r="I28" s="67" t="s">
        <v>166</v>
      </c>
      <c r="J28" s="73"/>
      <c r="K28" s="74"/>
      <c r="L28" s="283" t="s">
        <v>149</v>
      </c>
      <c r="M28" s="160"/>
      <c r="N28" s="231">
        <v>42086</v>
      </c>
      <c r="O28" s="292"/>
    </row>
    <row r="29" spans="1:15" x14ac:dyDescent="0.2">
      <c r="A29" s="383" t="s">
        <v>167</v>
      </c>
      <c r="B29" s="145" t="s">
        <v>168</v>
      </c>
      <c r="C29" s="190">
        <v>11810.4</v>
      </c>
      <c r="D29" s="120"/>
      <c r="E29" s="225"/>
      <c r="F29" s="120"/>
      <c r="G29" s="344"/>
      <c r="H29" s="509">
        <f>SUM(C29:G29)</f>
        <v>11810.4</v>
      </c>
      <c r="I29" s="67" t="s">
        <v>137</v>
      </c>
      <c r="J29" s="73"/>
      <c r="K29" s="74"/>
      <c r="L29" s="283" t="s">
        <v>125</v>
      </c>
      <c r="M29" s="160"/>
      <c r="N29" s="231">
        <v>42072</v>
      </c>
      <c r="O29" s="292"/>
    </row>
    <row r="30" spans="1:15" x14ac:dyDescent="0.2">
      <c r="A30" s="702" t="s">
        <v>170</v>
      </c>
      <c r="B30" s="145" t="s">
        <v>171</v>
      </c>
      <c r="C30" s="119"/>
      <c r="D30" s="120">
        <v>3192</v>
      </c>
      <c r="E30" s="225"/>
      <c r="F30" s="120"/>
      <c r="G30" s="344"/>
      <c r="H30" s="694">
        <f>SUM(C30:G34)</f>
        <v>26961</v>
      </c>
      <c r="I30" s="67" t="s">
        <v>172</v>
      </c>
      <c r="J30" s="73"/>
      <c r="K30" s="74"/>
      <c r="L30" s="283" t="s">
        <v>115</v>
      </c>
      <c r="M30" s="160"/>
      <c r="N30" s="231" t="s">
        <v>116</v>
      </c>
      <c r="O30" s="292"/>
    </row>
    <row r="31" spans="1:15" x14ac:dyDescent="0.2">
      <c r="A31" s="704"/>
      <c r="B31" s="145" t="s">
        <v>173</v>
      </c>
      <c r="C31" s="359"/>
      <c r="D31" s="221">
        <v>6840</v>
      </c>
      <c r="E31" s="394"/>
      <c r="F31" s="221"/>
      <c r="G31" s="512"/>
      <c r="H31" s="695"/>
      <c r="I31" s="67" t="s">
        <v>177</v>
      </c>
      <c r="J31" s="73"/>
      <c r="K31" s="74"/>
      <c r="L31" s="283" t="s">
        <v>115</v>
      </c>
      <c r="M31" s="160"/>
      <c r="N31" s="231" t="s">
        <v>116</v>
      </c>
      <c r="O31" s="292"/>
    </row>
    <row r="32" spans="1:15" x14ac:dyDescent="0.2">
      <c r="A32" s="704"/>
      <c r="B32" s="145" t="s">
        <v>174</v>
      </c>
      <c r="C32" s="119"/>
      <c r="D32" s="120">
        <v>5928</v>
      </c>
      <c r="E32" s="225"/>
      <c r="F32" s="120"/>
      <c r="G32" s="344"/>
      <c r="H32" s="695"/>
      <c r="I32" s="67" t="s">
        <v>176</v>
      </c>
      <c r="J32" s="73"/>
      <c r="K32" s="74"/>
      <c r="L32" s="283" t="s">
        <v>115</v>
      </c>
      <c r="M32" s="160"/>
      <c r="N32" s="231" t="s">
        <v>116</v>
      </c>
      <c r="O32" s="292"/>
    </row>
    <row r="33" spans="1:20" x14ac:dyDescent="0.2">
      <c r="A33" s="704"/>
      <c r="B33" s="145" t="s">
        <v>175</v>
      </c>
      <c r="C33" s="117"/>
      <c r="D33" s="118">
        <v>7581</v>
      </c>
      <c r="E33" s="409"/>
      <c r="F33" s="118"/>
      <c r="G33" s="513"/>
      <c r="H33" s="695"/>
      <c r="I33" s="67" t="s">
        <v>157</v>
      </c>
      <c r="J33" s="73"/>
      <c r="K33" s="74"/>
      <c r="L33" s="283" t="s">
        <v>115</v>
      </c>
      <c r="M33" s="160"/>
      <c r="N33" s="231" t="s">
        <v>116</v>
      </c>
      <c r="O33" s="292"/>
    </row>
    <row r="34" spans="1:20" x14ac:dyDescent="0.2">
      <c r="A34" s="703"/>
      <c r="B34" s="145" t="s">
        <v>178</v>
      </c>
      <c r="C34" s="119"/>
      <c r="D34" s="120"/>
      <c r="E34" s="225">
        <v>3420</v>
      </c>
      <c r="F34" s="120"/>
      <c r="G34" s="344"/>
      <c r="H34" s="696"/>
      <c r="I34" s="67" t="s">
        <v>179</v>
      </c>
      <c r="J34" s="73"/>
      <c r="K34" s="74"/>
      <c r="L34" s="283" t="s">
        <v>125</v>
      </c>
      <c r="M34" s="160"/>
      <c r="N34" s="231">
        <v>42094</v>
      </c>
      <c r="O34" s="292"/>
    </row>
    <row r="35" spans="1:20" x14ac:dyDescent="0.2">
      <c r="A35" s="383" t="s">
        <v>181</v>
      </c>
      <c r="B35" s="145" t="s">
        <v>180</v>
      </c>
      <c r="C35" s="119"/>
      <c r="D35" s="120">
        <v>3990</v>
      </c>
      <c r="E35" s="225"/>
      <c r="F35" s="120"/>
      <c r="G35" s="344"/>
      <c r="H35" s="514">
        <f>SUM(C35:G35)</f>
        <v>3990</v>
      </c>
      <c r="I35" s="67" t="s">
        <v>114</v>
      </c>
      <c r="J35" s="73"/>
      <c r="K35" s="74"/>
      <c r="L35" s="283" t="s">
        <v>115</v>
      </c>
      <c r="M35" s="160"/>
      <c r="N35" s="227" t="s">
        <v>116</v>
      </c>
      <c r="O35" s="292"/>
    </row>
    <row r="36" spans="1:20" ht="13.5" thickBot="1" x14ac:dyDescent="0.25">
      <c r="A36" s="477" t="s">
        <v>182</v>
      </c>
      <c r="B36" s="145" t="s">
        <v>183</v>
      </c>
      <c r="C36" s="190"/>
      <c r="D36" s="120">
        <v>1368</v>
      </c>
      <c r="E36" s="129"/>
      <c r="F36" s="120"/>
      <c r="G36" s="125"/>
      <c r="H36" s="482">
        <f>SUM(C36:G36)</f>
        <v>1368</v>
      </c>
      <c r="I36" s="67" t="s">
        <v>159</v>
      </c>
      <c r="J36" s="73"/>
      <c r="K36" s="74"/>
      <c r="L36" s="283" t="s">
        <v>115</v>
      </c>
      <c r="N36" s="227" t="s">
        <v>116</v>
      </c>
      <c r="O36" s="292"/>
    </row>
    <row r="37" spans="1:20" ht="14.25" thickTop="1" thickBot="1" x14ac:dyDescent="0.25">
      <c r="A37" s="705"/>
      <c r="B37" s="705"/>
      <c r="C37" s="115">
        <f>SUM(C5:C36)</f>
        <v>51368.4</v>
      </c>
      <c r="D37" s="126">
        <f>SUM(D5:D36)</f>
        <v>224077.80000000002</v>
      </c>
      <c r="E37" s="223">
        <f>SUM(E5:E36)</f>
        <v>19494</v>
      </c>
      <c r="F37" s="115">
        <f>SUM(F5:F36)</f>
        <v>0</v>
      </c>
      <c r="G37" s="126">
        <f>SUM(G5:G36)</f>
        <v>0</v>
      </c>
      <c r="H37" s="706">
        <f>SUM(H5:H26)</f>
        <v>240892.80000000002</v>
      </c>
      <c r="I37" s="707"/>
      <c r="J37" s="707"/>
      <c r="K37" s="707"/>
      <c r="L37" s="128"/>
      <c r="M37" s="128"/>
      <c r="N37" s="162"/>
      <c r="O37" s="294"/>
    </row>
    <row r="38" spans="1:20" x14ac:dyDescent="0.2">
      <c r="A38" s="384"/>
      <c r="B38" s="146"/>
      <c r="C38" s="709">
        <f>SUM(C37:D37)</f>
        <v>275446.2</v>
      </c>
      <c r="D38" s="710"/>
      <c r="E38" s="709">
        <f>SUM(E37:F37)</f>
        <v>19494</v>
      </c>
      <c r="F38" s="710"/>
      <c r="G38" s="127"/>
      <c r="H38" s="708"/>
      <c r="I38" s="706"/>
      <c r="J38" s="706"/>
      <c r="K38" s="706"/>
      <c r="L38" s="128"/>
      <c r="M38" s="128"/>
      <c r="N38" s="162"/>
      <c r="O38" s="294"/>
      <c r="P38" s="160"/>
      <c r="Q38" s="226"/>
    </row>
    <row r="39" spans="1:20" x14ac:dyDescent="0.2">
      <c r="A39" s="384"/>
      <c r="B39" s="146"/>
      <c r="C39" s="9"/>
      <c r="D39" s="9"/>
      <c r="E39" s="9"/>
      <c r="F39" s="9"/>
      <c r="G39" s="9"/>
      <c r="H39" s="14"/>
      <c r="I39" s="13"/>
      <c r="J39" s="13"/>
      <c r="K39" s="721">
        <f>SUM(C37:G37)+SUM('[1]FEBRUARY ''15'!$C$26:$G$26)-D11-D12-D13</f>
        <v>406049.19</v>
      </c>
      <c r="L39" s="721"/>
      <c r="M39" s="8"/>
      <c r="N39" s="162"/>
      <c r="O39" s="294"/>
      <c r="P39" s="160"/>
      <c r="Q39" s="214"/>
      <c r="R39" s="234"/>
    </row>
    <row r="40" spans="1:20" ht="15" x14ac:dyDescent="0.2">
      <c r="A40" s="124" t="s">
        <v>17</v>
      </c>
      <c r="C40" s="1"/>
      <c r="D40" s="1"/>
      <c r="E40" s="1"/>
      <c r="F40" s="1"/>
      <c r="K40" s="690">
        <f>D11+D12+D13</f>
        <v>110340</v>
      </c>
      <c r="L40" s="722"/>
      <c r="O40" s="292"/>
    </row>
    <row r="41" spans="1:20" x14ac:dyDescent="0.2">
      <c r="A41" s="4"/>
      <c r="C41" s="1"/>
      <c r="D41" s="1"/>
      <c r="E41" s="1"/>
      <c r="F41" s="1"/>
      <c r="O41" s="292"/>
      <c r="Q41" s="234"/>
    </row>
    <row r="42" spans="1:20" ht="19.5" thickBot="1" x14ac:dyDescent="0.25">
      <c r="A42" s="217"/>
      <c r="B42" s="218" t="s">
        <v>83</v>
      </c>
      <c r="C42" s="196"/>
      <c r="D42" s="1"/>
      <c r="E42" s="1"/>
      <c r="F42" s="1"/>
      <c r="J42" s="506"/>
      <c r="K42" s="506"/>
      <c r="L42" s="506"/>
      <c r="M42" s="506"/>
      <c r="O42" s="292"/>
    </row>
    <row r="43" spans="1:20" ht="13.5" thickBot="1" x14ac:dyDescent="0.25">
      <c r="A43" s="711"/>
      <c r="B43" s="712"/>
      <c r="C43" s="93" t="s">
        <v>48</v>
      </c>
      <c r="D43" s="284" t="s">
        <v>11</v>
      </c>
      <c r="E43" s="284" t="s">
        <v>44</v>
      </c>
      <c r="F43" s="284" t="s">
        <v>42</v>
      </c>
      <c r="G43" s="246" t="s">
        <v>27</v>
      </c>
      <c r="H43" s="246" t="s">
        <v>14</v>
      </c>
      <c r="I43" s="246" t="s">
        <v>72</v>
      </c>
      <c r="J43" s="246" t="s">
        <v>49</v>
      </c>
      <c r="K43" s="246" t="s">
        <v>61</v>
      </c>
      <c r="L43" s="246" t="s">
        <v>9</v>
      </c>
      <c r="M43" s="505" t="s">
        <v>47</v>
      </c>
      <c r="N43" s="422" t="s">
        <v>16</v>
      </c>
      <c r="O43" s="161"/>
      <c r="Q43" s="161"/>
      <c r="R43" s="161"/>
      <c r="S43" s="161"/>
    </row>
    <row r="44" spans="1:20" x14ac:dyDescent="0.2">
      <c r="A44" s="713" t="s">
        <v>110</v>
      </c>
      <c r="B44" s="714"/>
      <c r="C44" s="131"/>
      <c r="D44" s="132"/>
      <c r="E44" s="132"/>
      <c r="F44" s="166"/>
      <c r="G44" s="123"/>
      <c r="H44" s="123"/>
      <c r="I44" s="123"/>
      <c r="J44" s="123"/>
      <c r="K44" s="123"/>
      <c r="L44" s="123">
        <v>6840</v>
      </c>
      <c r="M44" s="123"/>
      <c r="N44" s="423"/>
      <c r="O44" s="161"/>
      <c r="Q44" s="161"/>
      <c r="R44" s="161"/>
      <c r="S44" s="161"/>
    </row>
    <row r="45" spans="1:20" x14ac:dyDescent="0.2">
      <c r="A45" s="692" t="s">
        <v>111</v>
      </c>
      <c r="B45" s="701"/>
      <c r="C45" s="133"/>
      <c r="D45" s="134"/>
      <c r="E45" s="134"/>
      <c r="F45" s="137"/>
      <c r="G45" s="122"/>
      <c r="H45" s="122"/>
      <c r="I45" s="122"/>
      <c r="J45" s="122"/>
      <c r="K45" s="122"/>
      <c r="L45" s="122">
        <v>6840</v>
      </c>
      <c r="M45" s="122"/>
      <c r="N45" s="170"/>
      <c r="O45" s="161"/>
      <c r="Q45" s="161"/>
      <c r="R45" s="161"/>
      <c r="S45" s="161"/>
      <c r="T45" s="226"/>
    </row>
    <row r="46" spans="1:20" x14ac:dyDescent="0.2">
      <c r="A46" s="692" t="s">
        <v>112</v>
      </c>
      <c r="B46" s="701"/>
      <c r="C46" s="133"/>
      <c r="D46" s="134"/>
      <c r="E46" s="134"/>
      <c r="F46" s="137"/>
      <c r="G46" s="122"/>
      <c r="H46" s="122"/>
      <c r="I46" s="122"/>
      <c r="J46" s="122"/>
      <c r="K46" s="122"/>
      <c r="L46" s="122">
        <v>2052</v>
      </c>
      <c r="M46" s="122"/>
      <c r="N46" s="170"/>
      <c r="O46" s="161"/>
      <c r="Q46" s="161"/>
      <c r="R46" s="161"/>
      <c r="S46" s="161"/>
    </row>
    <row r="47" spans="1:20" x14ac:dyDescent="0.2">
      <c r="A47" s="692" t="s">
        <v>118</v>
      </c>
      <c r="B47" s="701"/>
      <c r="C47" s="133"/>
      <c r="D47" s="134"/>
      <c r="E47" s="134"/>
      <c r="F47" s="137">
        <v>9120</v>
      </c>
      <c r="G47" s="122"/>
      <c r="H47" s="122"/>
      <c r="I47" s="122"/>
      <c r="J47" s="122"/>
      <c r="K47" s="122"/>
      <c r="L47" s="122"/>
      <c r="M47" s="122"/>
      <c r="N47" s="170"/>
      <c r="O47" s="161"/>
      <c r="Q47" s="161"/>
      <c r="R47" s="161"/>
      <c r="S47" s="161"/>
    </row>
    <row r="48" spans="1:20" x14ac:dyDescent="0.2">
      <c r="A48" s="692" t="s">
        <v>119</v>
      </c>
      <c r="B48" s="701"/>
      <c r="C48" s="133"/>
      <c r="D48" s="134"/>
      <c r="E48" s="134"/>
      <c r="F48" s="137"/>
      <c r="G48" s="122"/>
      <c r="H48" s="122"/>
      <c r="I48" s="122"/>
      <c r="J48" s="122"/>
      <c r="K48" s="122"/>
      <c r="L48" s="122"/>
      <c r="M48" s="122">
        <v>8208</v>
      </c>
      <c r="N48" s="170"/>
      <c r="O48" s="161"/>
      <c r="Q48" s="161"/>
      <c r="R48" s="161"/>
      <c r="S48" s="161"/>
    </row>
    <row r="49" spans="1:19" x14ac:dyDescent="0.2">
      <c r="A49" s="692" t="s">
        <v>126</v>
      </c>
      <c r="B49" s="701"/>
      <c r="C49" s="133"/>
      <c r="D49" s="134"/>
      <c r="E49" s="134"/>
      <c r="F49" s="137"/>
      <c r="G49" s="122"/>
      <c r="H49" s="122"/>
      <c r="I49" s="122">
        <v>58900</v>
      </c>
      <c r="J49" s="122"/>
      <c r="K49" s="122"/>
      <c r="L49" s="122"/>
      <c r="M49" s="122"/>
      <c r="N49" s="170"/>
      <c r="O49" s="161"/>
      <c r="Q49" s="161"/>
      <c r="R49" s="161"/>
      <c r="S49" s="161"/>
    </row>
    <row r="50" spans="1:19" x14ac:dyDescent="0.2">
      <c r="A50" s="692" t="s">
        <v>128</v>
      </c>
      <c r="B50" s="701"/>
      <c r="C50" s="133"/>
      <c r="D50" s="134"/>
      <c r="E50" s="134"/>
      <c r="F50" s="122"/>
      <c r="G50" s="122"/>
      <c r="H50" s="122"/>
      <c r="I50" s="122">
        <v>39640</v>
      </c>
      <c r="J50" s="122"/>
      <c r="K50" s="122"/>
      <c r="L50" s="122"/>
      <c r="M50" s="122"/>
      <c r="N50" s="170"/>
      <c r="O50" s="161"/>
      <c r="Q50" s="161"/>
      <c r="R50" s="161"/>
      <c r="S50" s="161"/>
    </row>
    <row r="51" spans="1:19" x14ac:dyDescent="0.2">
      <c r="A51" s="692" t="s">
        <v>129</v>
      </c>
      <c r="B51" s="693"/>
      <c r="C51" s="380"/>
      <c r="D51" s="202"/>
      <c r="E51" s="202"/>
      <c r="F51" s="229"/>
      <c r="G51" s="248"/>
      <c r="H51" s="248"/>
      <c r="I51" s="248">
        <v>11800</v>
      </c>
      <c r="J51" s="248"/>
      <c r="K51" s="248"/>
      <c r="L51" s="248"/>
      <c r="M51" s="248"/>
      <c r="N51" s="308"/>
      <c r="O51" s="161"/>
      <c r="Q51" s="161"/>
      <c r="R51" s="161"/>
      <c r="S51" s="161"/>
    </row>
    <row r="52" spans="1:19" x14ac:dyDescent="0.2">
      <c r="A52" s="692" t="s">
        <v>131</v>
      </c>
      <c r="B52" s="693"/>
      <c r="C52" s="380"/>
      <c r="D52" s="202"/>
      <c r="E52" s="202"/>
      <c r="F52" s="122">
        <v>-3636.6</v>
      </c>
      <c r="G52" s="318"/>
      <c r="H52" s="318"/>
      <c r="I52" s="248"/>
      <c r="J52" s="248"/>
      <c r="K52" s="248"/>
      <c r="L52" s="248"/>
      <c r="M52" s="248"/>
      <c r="N52" s="308"/>
      <c r="O52" s="161"/>
      <c r="Q52" s="161"/>
      <c r="R52" s="161"/>
      <c r="S52" s="161"/>
    </row>
    <row r="53" spans="1:19" x14ac:dyDescent="0.2">
      <c r="A53" s="692" t="s">
        <v>142</v>
      </c>
      <c r="B53" s="693"/>
      <c r="C53" s="380"/>
      <c r="D53" s="202"/>
      <c r="E53" s="202"/>
      <c r="F53" s="122"/>
      <c r="G53" s="318"/>
      <c r="H53" s="318"/>
      <c r="I53" s="248"/>
      <c r="J53" s="248">
        <v>2382.6</v>
      </c>
      <c r="K53" s="248"/>
      <c r="L53" s="248"/>
      <c r="M53" s="248"/>
      <c r="N53" s="308"/>
      <c r="O53" s="161"/>
      <c r="Q53" s="161"/>
      <c r="R53" s="161"/>
      <c r="S53" s="161"/>
    </row>
    <row r="54" spans="1:19" x14ac:dyDescent="0.2">
      <c r="A54" s="692" t="s">
        <v>140</v>
      </c>
      <c r="B54" s="693"/>
      <c r="C54" s="380"/>
      <c r="D54" s="202"/>
      <c r="E54" s="202"/>
      <c r="F54" s="229"/>
      <c r="G54" s="248">
        <v>12768</v>
      </c>
      <c r="H54" s="248"/>
      <c r="I54" s="248"/>
      <c r="J54" s="248"/>
      <c r="K54" s="248"/>
      <c r="L54" s="248"/>
      <c r="M54" s="248"/>
      <c r="N54" s="308"/>
      <c r="O54" s="161"/>
      <c r="Q54" s="161"/>
      <c r="R54" s="161"/>
      <c r="S54" s="161"/>
    </row>
    <row r="55" spans="1:19" x14ac:dyDescent="0.2">
      <c r="A55" s="692" t="s">
        <v>145</v>
      </c>
      <c r="B55" s="693"/>
      <c r="C55" s="380"/>
      <c r="D55" s="202"/>
      <c r="E55" s="202"/>
      <c r="F55" s="229"/>
      <c r="G55" s="248"/>
      <c r="H55" s="248"/>
      <c r="I55" s="248"/>
      <c r="J55" s="248"/>
      <c r="K55" s="248"/>
      <c r="L55" s="248">
        <v>-820.8</v>
      </c>
      <c r="M55" s="248"/>
      <c r="N55" s="308"/>
      <c r="O55" s="161"/>
      <c r="Q55" s="161"/>
      <c r="R55" s="161"/>
      <c r="S55" s="161"/>
    </row>
    <row r="56" spans="1:19" x14ac:dyDescent="0.2">
      <c r="A56" s="692" t="s">
        <v>151</v>
      </c>
      <c r="B56" s="693"/>
      <c r="C56" s="380"/>
      <c r="D56" s="202"/>
      <c r="E56" s="202"/>
      <c r="F56" s="229"/>
      <c r="G56" s="248"/>
      <c r="H56" s="248"/>
      <c r="I56" s="248"/>
      <c r="J56" s="248"/>
      <c r="K56" s="248"/>
      <c r="L56" s="248">
        <v>855</v>
      </c>
      <c r="M56" s="248"/>
      <c r="N56" s="308"/>
      <c r="O56" s="161"/>
      <c r="Q56" s="161"/>
      <c r="R56" s="161"/>
      <c r="S56" s="161"/>
    </row>
    <row r="57" spans="1:19" x14ac:dyDescent="0.2">
      <c r="A57" s="692" t="s">
        <v>153</v>
      </c>
      <c r="B57" s="693"/>
      <c r="C57" s="380"/>
      <c r="D57" s="202"/>
      <c r="E57" s="202"/>
      <c r="F57" s="229"/>
      <c r="G57" s="248"/>
      <c r="H57" s="248"/>
      <c r="I57" s="248"/>
      <c r="J57" s="248"/>
      <c r="K57" s="248"/>
      <c r="L57" s="248"/>
      <c r="M57" s="248"/>
      <c r="N57" s="308">
        <v>1539</v>
      </c>
      <c r="O57" s="161"/>
      <c r="Q57" s="161"/>
      <c r="R57" s="161"/>
      <c r="S57" s="161"/>
    </row>
    <row r="58" spans="1:19" x14ac:dyDescent="0.2">
      <c r="A58" s="692" t="s">
        <v>156</v>
      </c>
      <c r="B58" s="693"/>
      <c r="C58" s="380"/>
      <c r="D58" s="202">
        <v>35796</v>
      </c>
      <c r="E58" s="202"/>
      <c r="F58" s="229"/>
      <c r="G58" s="248"/>
      <c r="H58" s="248"/>
      <c r="I58" s="248"/>
      <c r="J58" s="248"/>
      <c r="K58" s="248"/>
      <c r="L58" s="248"/>
      <c r="M58" s="248"/>
      <c r="N58" s="308"/>
      <c r="O58" s="161"/>
      <c r="Q58" s="161"/>
      <c r="R58" s="161"/>
      <c r="S58" s="161"/>
    </row>
    <row r="59" spans="1:19" x14ac:dyDescent="0.2">
      <c r="A59" s="692" t="s">
        <v>158</v>
      </c>
      <c r="B59" s="693"/>
      <c r="C59" s="380"/>
      <c r="D59" s="202"/>
      <c r="E59" s="202">
        <v>4947.6000000000004</v>
      </c>
      <c r="F59" s="229"/>
      <c r="G59" s="248"/>
      <c r="H59" s="248"/>
      <c r="I59" s="248"/>
      <c r="J59" s="248"/>
      <c r="K59" s="248"/>
      <c r="L59" s="248"/>
      <c r="M59" s="248"/>
      <c r="N59" s="308"/>
      <c r="O59" s="161"/>
      <c r="Q59" s="161"/>
      <c r="R59" s="161"/>
      <c r="S59" s="161"/>
    </row>
    <row r="60" spans="1:19" x14ac:dyDescent="0.2">
      <c r="A60" s="692" t="s">
        <v>163</v>
      </c>
      <c r="B60" s="693"/>
      <c r="C60" s="380"/>
      <c r="D60" s="202"/>
      <c r="E60" s="202"/>
      <c r="F60" s="229"/>
      <c r="G60" s="248"/>
      <c r="H60" s="248"/>
      <c r="I60" s="248"/>
      <c r="J60" s="248"/>
      <c r="K60" s="248"/>
      <c r="L60" s="248">
        <v>-2052</v>
      </c>
      <c r="M60" s="248"/>
      <c r="N60" s="308"/>
      <c r="O60" s="161"/>
      <c r="Q60" s="161"/>
      <c r="R60" s="161"/>
      <c r="S60" s="161"/>
    </row>
    <row r="61" spans="1:19" x14ac:dyDescent="0.2">
      <c r="A61" s="692" t="s">
        <v>169</v>
      </c>
      <c r="B61" s="693"/>
      <c r="C61" s="380"/>
      <c r="D61" s="202"/>
      <c r="E61" s="202"/>
      <c r="F61" s="229"/>
      <c r="G61" s="248"/>
      <c r="H61" s="248"/>
      <c r="I61" s="248"/>
      <c r="J61" s="248"/>
      <c r="K61" s="248">
        <v>3192</v>
      </c>
      <c r="L61" s="248"/>
      <c r="M61" s="248"/>
      <c r="N61" s="308"/>
      <c r="O61" s="161"/>
      <c r="Q61" s="161"/>
      <c r="R61" s="161"/>
      <c r="S61" s="161"/>
    </row>
    <row r="62" spans="1:19" x14ac:dyDescent="0.2">
      <c r="A62" s="692" t="s">
        <v>173</v>
      </c>
      <c r="B62" s="693"/>
      <c r="C62" s="380"/>
      <c r="D62" s="202"/>
      <c r="E62" s="202"/>
      <c r="F62" s="229"/>
      <c r="G62" s="248"/>
      <c r="H62" s="248">
        <v>6840</v>
      </c>
      <c r="I62" s="248"/>
      <c r="J62" s="248"/>
      <c r="K62" s="248"/>
      <c r="L62" s="248"/>
      <c r="M62" s="248"/>
      <c r="N62" s="308"/>
      <c r="O62" s="161"/>
      <c r="Q62" s="161"/>
      <c r="R62" s="161"/>
      <c r="S62" s="161"/>
    </row>
    <row r="63" spans="1:19" x14ac:dyDescent="0.2">
      <c r="A63" s="692" t="s">
        <v>174</v>
      </c>
      <c r="B63" s="693"/>
      <c r="C63" s="380">
        <v>5928</v>
      </c>
      <c r="D63" s="202"/>
      <c r="E63" s="202"/>
      <c r="F63" s="229"/>
      <c r="G63" s="248"/>
      <c r="H63" s="248"/>
      <c r="I63" s="248"/>
      <c r="J63" s="248"/>
      <c r="K63" s="248"/>
      <c r="L63" s="248"/>
      <c r="M63" s="248"/>
      <c r="N63" s="308"/>
      <c r="O63" s="161"/>
      <c r="Q63" s="161"/>
      <c r="R63" s="161"/>
      <c r="S63" s="161"/>
    </row>
    <row r="64" spans="1:19" x14ac:dyDescent="0.2">
      <c r="A64" s="692" t="s">
        <v>175</v>
      </c>
      <c r="B64" s="693"/>
      <c r="C64" s="380"/>
      <c r="D64" s="202">
        <v>7581</v>
      </c>
      <c r="E64" s="202"/>
      <c r="F64" s="229"/>
      <c r="G64" s="248"/>
      <c r="H64" s="248"/>
      <c r="I64" s="248"/>
      <c r="J64" s="248"/>
      <c r="K64" s="248"/>
      <c r="L64" s="248"/>
      <c r="M64" s="248"/>
      <c r="N64" s="308"/>
      <c r="O64" s="161"/>
      <c r="Q64" s="161"/>
      <c r="R64" s="161"/>
      <c r="S64" s="161"/>
    </row>
    <row r="65" spans="1:19" x14ac:dyDescent="0.2">
      <c r="A65" s="692" t="s">
        <v>180</v>
      </c>
      <c r="B65" s="693"/>
      <c r="C65" s="511"/>
      <c r="D65" s="202"/>
      <c r="E65" s="202"/>
      <c r="F65" s="229"/>
      <c r="G65" s="248"/>
      <c r="H65" s="510"/>
      <c r="I65" s="248"/>
      <c r="J65" s="248"/>
      <c r="K65" s="248"/>
      <c r="L65" s="248">
        <v>3990</v>
      </c>
      <c r="M65" s="248"/>
      <c r="N65" s="308"/>
      <c r="O65" s="161"/>
      <c r="Q65" s="161"/>
      <c r="R65" s="161"/>
      <c r="S65" s="161"/>
    </row>
    <row r="66" spans="1:19" ht="13.5" thickBot="1" x14ac:dyDescent="0.25">
      <c r="A66" s="697" t="s">
        <v>183</v>
      </c>
      <c r="B66" s="698"/>
      <c r="C66" s="154"/>
      <c r="D66" s="155"/>
      <c r="E66" s="155">
        <v>1368</v>
      </c>
      <c r="F66" s="167"/>
      <c r="G66" s="386"/>
      <c r="H66" s="386"/>
      <c r="I66" s="386"/>
      <c r="J66" s="386"/>
      <c r="K66" s="386"/>
      <c r="L66" s="386"/>
      <c r="M66" s="386"/>
      <c r="N66" s="427"/>
      <c r="O66" s="161"/>
      <c r="Q66" s="161"/>
      <c r="R66" s="161"/>
      <c r="S66" s="161"/>
    </row>
    <row r="67" spans="1:19" s="13" customFormat="1" ht="14.25" customHeight="1" thickBot="1" x14ac:dyDescent="0.25">
      <c r="A67" s="382"/>
      <c r="B67" s="143"/>
      <c r="C67" s="138">
        <f t="shared" ref="C67:N67" si="0">SUM(C44:C66)</f>
        <v>5928</v>
      </c>
      <c r="D67" s="187">
        <f t="shared" si="0"/>
        <v>43377</v>
      </c>
      <c r="E67" s="187">
        <f t="shared" si="0"/>
        <v>6315.6</v>
      </c>
      <c r="F67" s="187">
        <f t="shared" si="0"/>
        <v>5483.4</v>
      </c>
      <c r="G67" s="187">
        <f t="shared" si="0"/>
        <v>12768</v>
      </c>
      <c r="H67" s="187">
        <f t="shared" si="0"/>
        <v>6840</v>
      </c>
      <c r="I67" s="187">
        <f t="shared" si="0"/>
        <v>110340</v>
      </c>
      <c r="J67" s="187">
        <f t="shared" si="0"/>
        <v>2382.6</v>
      </c>
      <c r="K67" s="187">
        <f t="shared" si="0"/>
        <v>3192</v>
      </c>
      <c r="L67" s="187">
        <f t="shared" si="0"/>
        <v>17704.2</v>
      </c>
      <c r="M67" s="187">
        <f>SUM(M44:M66)</f>
        <v>8208</v>
      </c>
      <c r="N67" s="140">
        <f t="shared" si="0"/>
        <v>1539</v>
      </c>
      <c r="O67" s="699">
        <f>SUM(C67:N67)</f>
        <v>224077.80000000002</v>
      </c>
      <c r="P67" s="700"/>
      <c r="Q67"/>
      <c r="R67"/>
      <c r="S67"/>
    </row>
    <row r="68" spans="1:19" s="13" customFormat="1" ht="15" customHeight="1" x14ac:dyDescent="0.2">
      <c r="A68" s="382"/>
      <c r="B68" s="143"/>
      <c r="C68" s="1"/>
      <c r="D68" s="1"/>
      <c r="E68" s="1"/>
      <c r="F68" s="1"/>
      <c r="G68" s="1"/>
      <c r="H68" s="1"/>
      <c r="I68" s="524" t="s">
        <v>222</v>
      </c>
      <c r="J68"/>
      <c r="K68"/>
      <c r="L68"/>
      <c r="M68"/>
      <c r="N68"/>
      <c r="O68" s="690">
        <f>C67+H67+K67+L67+N67</f>
        <v>35203.199999999997</v>
      </c>
      <c r="P68" s="691"/>
    </row>
    <row r="69" spans="1:19" s="13" customFormat="1" x14ac:dyDescent="0.2">
      <c r="A69" s="297"/>
      <c r="B69" s="146"/>
      <c r="C69" s="265"/>
      <c r="D69" s="265"/>
      <c r="E69" s="265"/>
      <c r="F69" s="265"/>
      <c r="G69" s="9"/>
      <c r="H69" s="14"/>
      <c r="L69" s="8"/>
      <c r="M69" s="8"/>
      <c r="N69" s="162"/>
    </row>
    <row r="70" spans="1:19" x14ac:dyDescent="0.2">
      <c r="I70" s="234"/>
    </row>
    <row r="71" spans="1:19" x14ac:dyDescent="0.2">
      <c r="H71" s="1"/>
      <c r="N71"/>
      <c r="O71" s="161"/>
    </row>
  </sheetData>
  <mergeCells count="48">
    <mergeCell ref="I4:K4"/>
    <mergeCell ref="A47:B47"/>
    <mergeCell ref="A48:B48"/>
    <mergeCell ref="G2:G4"/>
    <mergeCell ref="C3:D3"/>
    <mergeCell ref="E3:F3"/>
    <mergeCell ref="A8:A9"/>
    <mergeCell ref="H8:H9"/>
    <mergeCell ref="A11:A19"/>
    <mergeCell ref="H11:H19"/>
    <mergeCell ref="A25:A26"/>
    <mergeCell ref="H25:H26"/>
    <mergeCell ref="A5:A7"/>
    <mergeCell ref="H5:H7"/>
    <mergeCell ref="K39:L39"/>
    <mergeCell ref="K40:L40"/>
    <mergeCell ref="A20:A21"/>
    <mergeCell ref="A30:A34"/>
    <mergeCell ref="H20:H21"/>
    <mergeCell ref="A52:B52"/>
    <mergeCell ref="A55:B55"/>
    <mergeCell ref="A53:B53"/>
    <mergeCell ref="A54:B54"/>
    <mergeCell ref="A37:B37"/>
    <mergeCell ref="H37:K38"/>
    <mergeCell ref="C38:D38"/>
    <mergeCell ref="E38:F38"/>
    <mergeCell ref="A43:B43"/>
    <mergeCell ref="A44:B44"/>
    <mergeCell ref="A45:B45"/>
    <mergeCell ref="A46:B46"/>
    <mergeCell ref="A50:B50"/>
    <mergeCell ref="O68:P68"/>
    <mergeCell ref="A61:B61"/>
    <mergeCell ref="H30:H34"/>
    <mergeCell ref="A63:B63"/>
    <mergeCell ref="A64:B64"/>
    <mergeCell ref="A59:B59"/>
    <mergeCell ref="A58:B58"/>
    <mergeCell ref="A60:B60"/>
    <mergeCell ref="A62:B62"/>
    <mergeCell ref="A66:B66"/>
    <mergeCell ref="O67:P67"/>
    <mergeCell ref="A51:B51"/>
    <mergeCell ref="A49:B49"/>
    <mergeCell ref="A57:B57"/>
    <mergeCell ref="A65:B65"/>
    <mergeCell ref="A56:B56"/>
  </mergeCells>
  <printOptions horizontalCentered="1"/>
  <pageMargins left="0.15748031496062992" right="0.15748031496062992" top="0.15748031496062992" bottom="0.35433070866141736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R53"/>
  <sheetViews>
    <sheetView zoomScaleNormal="100" workbookViewId="0">
      <pane ySplit="4" topLeftCell="A5" activePane="bottomLeft" state="frozenSplit"/>
      <selection pane="bottomLeft" activeCell="I6" sqref="I6"/>
    </sheetView>
  </sheetViews>
  <sheetFormatPr defaultRowHeight="12.75" x14ac:dyDescent="0.2"/>
  <cols>
    <col min="1" max="1" width="2.42578125" style="302" customWidth="1"/>
    <col min="2" max="2" width="6.42578125" style="143" customWidth="1"/>
    <col min="3" max="4" width="10.7109375" style="257" customWidth="1"/>
    <col min="5" max="5" width="11.28515625" style="257" customWidth="1"/>
    <col min="6" max="6" width="10.140625" style="257" customWidth="1"/>
    <col min="7" max="7" width="10.85546875" style="1" customWidth="1"/>
    <col min="8" max="8" width="12.7109375" style="1" customWidth="1"/>
    <col min="9" max="9" width="10.7109375" customWidth="1"/>
    <col min="10" max="10" width="10.42578125" customWidth="1"/>
    <col min="11" max="11" width="9.140625" customWidth="1"/>
    <col min="12" max="12" width="10.28515625" customWidth="1"/>
    <col min="13" max="14" width="10.7109375" customWidth="1"/>
    <col min="15" max="15" width="10.7109375" style="161" customWidth="1"/>
    <col min="16" max="16" width="10.7109375" customWidth="1"/>
    <col min="17" max="17" width="14.140625" customWidth="1"/>
    <col min="18" max="18" width="13.28515625" customWidth="1"/>
    <col min="19" max="19" width="13.7109375" customWidth="1"/>
    <col min="20" max="20" width="13.140625" customWidth="1"/>
  </cols>
  <sheetData>
    <row r="1" spans="1:17" ht="15" x14ac:dyDescent="0.25">
      <c r="A1" s="100" t="s">
        <v>108</v>
      </c>
      <c r="C1" s="256"/>
    </row>
    <row r="2" spans="1:17" ht="5.25" customHeight="1" thickBot="1" x14ac:dyDescent="0.25">
      <c r="A2" s="303"/>
      <c r="B2" s="307"/>
      <c r="C2" s="258"/>
      <c r="D2" s="259"/>
      <c r="E2" s="259"/>
      <c r="F2" s="259"/>
      <c r="G2" s="716" t="s">
        <v>90</v>
      </c>
      <c r="H2" s="442"/>
      <c r="I2" s="212"/>
    </row>
    <row r="3" spans="1:17" ht="17.25" customHeight="1" x14ac:dyDescent="0.2">
      <c r="A3" s="303"/>
      <c r="B3" s="307"/>
      <c r="C3" s="743" t="s">
        <v>83</v>
      </c>
      <c r="D3" s="744"/>
      <c r="E3" s="743" t="s">
        <v>82</v>
      </c>
      <c r="F3" s="744"/>
      <c r="G3" s="716"/>
      <c r="H3" s="442"/>
      <c r="I3" s="212"/>
    </row>
    <row r="4" spans="1:17" ht="13.5" thickBot="1" x14ac:dyDescent="0.25">
      <c r="A4" s="141" t="s">
        <v>6</v>
      </c>
      <c r="B4" s="172" t="s">
        <v>18</v>
      </c>
      <c r="C4" s="260" t="s">
        <v>7</v>
      </c>
      <c r="D4" s="261" t="s">
        <v>8</v>
      </c>
      <c r="E4" s="260" t="s">
        <v>86</v>
      </c>
      <c r="F4" s="262" t="s">
        <v>8</v>
      </c>
      <c r="G4" s="717"/>
      <c r="H4" s="301" t="s">
        <v>0</v>
      </c>
      <c r="I4" s="715" t="s">
        <v>19</v>
      </c>
      <c r="J4" s="715"/>
      <c r="K4" s="715"/>
      <c r="N4" s="161"/>
      <c r="O4"/>
    </row>
    <row r="5" spans="1:17" x14ac:dyDescent="0.2">
      <c r="A5" s="735" t="s">
        <v>184</v>
      </c>
      <c r="B5" s="145" t="s">
        <v>160</v>
      </c>
      <c r="C5" s="190">
        <v>2473.8000000000002</v>
      </c>
      <c r="D5" s="120"/>
      <c r="E5" s="225"/>
      <c r="F5" s="120"/>
      <c r="G5" s="344"/>
      <c r="H5" s="737">
        <f>SUM(C5:G6)</f>
        <v>148393.79999999999</v>
      </c>
      <c r="I5" s="516" t="s">
        <v>161</v>
      </c>
      <c r="J5" s="73"/>
      <c r="K5" s="74"/>
      <c r="L5" s="283" t="s">
        <v>125</v>
      </c>
      <c r="M5" s="160"/>
      <c r="N5" s="231">
        <v>42095</v>
      </c>
      <c r="O5" s="292"/>
    </row>
    <row r="6" spans="1:17" x14ac:dyDescent="0.2">
      <c r="A6" s="736"/>
      <c r="B6" s="389" t="s">
        <v>185</v>
      </c>
      <c r="C6" s="401"/>
      <c r="D6" s="402"/>
      <c r="E6" s="529">
        <v>145920</v>
      </c>
      <c r="F6" s="403"/>
      <c r="G6" s="392"/>
      <c r="H6" s="738"/>
      <c r="I6" s="67" t="s">
        <v>186</v>
      </c>
      <c r="J6" s="73"/>
      <c r="K6" s="74"/>
      <c r="L6" s="160" t="s">
        <v>149</v>
      </c>
      <c r="N6" s="227">
        <v>42143</v>
      </c>
      <c r="O6" s="293"/>
    </row>
    <row r="7" spans="1:17" x14ac:dyDescent="0.2">
      <c r="A7" s="500" t="s">
        <v>187</v>
      </c>
      <c r="B7" s="145" t="s">
        <v>188</v>
      </c>
      <c r="C7" s="420">
        <v>7980</v>
      </c>
      <c r="D7" s="251"/>
      <c r="E7" s="252"/>
      <c r="F7" s="253"/>
      <c r="G7" s="125"/>
      <c r="H7" s="501">
        <f>SUM(C7:G7)</f>
        <v>7980</v>
      </c>
      <c r="I7" s="67" t="s">
        <v>189</v>
      </c>
      <c r="J7" s="73"/>
      <c r="K7" s="74"/>
      <c r="L7" s="160" t="s">
        <v>125</v>
      </c>
      <c r="N7" s="227">
        <v>42102</v>
      </c>
      <c r="O7" s="293"/>
    </row>
    <row r="8" spans="1:17" x14ac:dyDescent="0.2">
      <c r="A8" s="184" t="s">
        <v>127</v>
      </c>
      <c r="B8" s="145" t="s">
        <v>190</v>
      </c>
      <c r="C8" s="263"/>
      <c r="D8" s="251">
        <v>5312.4</v>
      </c>
      <c r="E8" s="252"/>
      <c r="F8" s="253"/>
      <c r="G8" s="125"/>
      <c r="H8" s="501">
        <f>SUM(C8:G8)</f>
        <v>5312.4</v>
      </c>
      <c r="I8" s="148" t="s">
        <v>191</v>
      </c>
      <c r="J8" s="73"/>
      <c r="K8" s="74"/>
      <c r="L8" s="283" t="s">
        <v>115</v>
      </c>
      <c r="N8" s="227" t="s">
        <v>116</v>
      </c>
      <c r="O8"/>
    </row>
    <row r="9" spans="1:17" x14ac:dyDescent="0.2">
      <c r="A9" s="702" t="s">
        <v>192</v>
      </c>
      <c r="B9" s="144" t="s">
        <v>193</v>
      </c>
      <c r="C9" s="315"/>
      <c r="D9" s="304">
        <v>3420</v>
      </c>
      <c r="E9" s="375"/>
      <c r="F9" s="306"/>
      <c r="G9" s="159"/>
      <c r="H9" s="728">
        <f>SUM(C9:G10)</f>
        <v>7273.2</v>
      </c>
      <c r="I9" s="148" t="s">
        <v>121</v>
      </c>
      <c r="J9" s="73"/>
      <c r="K9" s="74"/>
      <c r="L9" s="283" t="s">
        <v>115</v>
      </c>
      <c r="N9" s="227" t="s">
        <v>116</v>
      </c>
      <c r="O9"/>
    </row>
    <row r="10" spans="1:17" x14ac:dyDescent="0.2">
      <c r="A10" s="703"/>
      <c r="B10" s="389" t="s">
        <v>194</v>
      </c>
      <c r="C10" s="405"/>
      <c r="D10" s="402">
        <v>3853.2</v>
      </c>
      <c r="E10" s="407"/>
      <c r="F10" s="403"/>
      <c r="G10" s="392"/>
      <c r="H10" s="730"/>
      <c r="I10" s="148" t="s">
        <v>114</v>
      </c>
      <c r="J10" s="73"/>
      <c r="K10" s="74"/>
      <c r="L10" s="283" t="s">
        <v>115</v>
      </c>
      <c r="N10" s="227" t="s">
        <v>116</v>
      </c>
      <c r="O10"/>
    </row>
    <row r="11" spans="1:17" x14ac:dyDescent="0.2">
      <c r="A11" s="702" t="s">
        <v>195</v>
      </c>
      <c r="B11" s="145" t="s">
        <v>196</v>
      </c>
      <c r="C11" s="263"/>
      <c r="D11" s="251">
        <v>1231.2</v>
      </c>
      <c r="E11" s="252"/>
      <c r="F11" s="253"/>
      <c r="G11" s="125"/>
      <c r="H11" s="728">
        <f>SUM(C11:G13)</f>
        <v>9729.9</v>
      </c>
      <c r="I11" s="148" t="s">
        <v>159</v>
      </c>
      <c r="J11" s="73"/>
      <c r="K11" s="74"/>
      <c r="L11" s="283" t="s">
        <v>115</v>
      </c>
      <c r="N11" s="227" t="s">
        <v>116</v>
      </c>
      <c r="O11" s="293"/>
    </row>
    <row r="12" spans="1:17" x14ac:dyDescent="0.2">
      <c r="A12" s="704"/>
      <c r="B12" s="145" t="s">
        <v>197</v>
      </c>
      <c r="C12" s="315">
        <v>7729.2</v>
      </c>
      <c r="D12" s="304"/>
      <c r="E12" s="375"/>
      <c r="F12" s="306"/>
      <c r="G12" s="159"/>
      <c r="H12" s="729"/>
      <c r="I12" s="148" t="s">
        <v>198</v>
      </c>
      <c r="J12" s="73"/>
      <c r="K12" s="74"/>
      <c r="L12" s="160" t="s">
        <v>125</v>
      </c>
      <c r="N12" s="227">
        <v>42109</v>
      </c>
      <c r="O12" s="515"/>
      <c r="P12" s="212"/>
      <c r="Q12" s="212"/>
    </row>
    <row r="13" spans="1:17" x14ac:dyDescent="0.2">
      <c r="A13" s="703"/>
      <c r="B13" s="145" t="s">
        <v>199</v>
      </c>
      <c r="C13" s="404">
        <v>769.5</v>
      </c>
      <c r="D13" s="370"/>
      <c r="E13" s="371"/>
      <c r="F13" s="372"/>
      <c r="G13" s="373"/>
      <c r="H13" s="730"/>
      <c r="I13" s="148" t="s">
        <v>200</v>
      </c>
      <c r="J13" s="73"/>
      <c r="K13" s="74"/>
      <c r="L13" s="160" t="s">
        <v>149</v>
      </c>
      <c r="N13" s="227">
        <v>42222</v>
      </c>
      <c r="O13" s="515"/>
      <c r="P13" s="212"/>
      <c r="Q13" s="212"/>
    </row>
    <row r="14" spans="1:17" x14ac:dyDescent="0.2">
      <c r="A14" s="184" t="s">
        <v>201</v>
      </c>
      <c r="B14" s="358" t="s">
        <v>202</v>
      </c>
      <c r="C14" s="404"/>
      <c r="D14" s="370">
        <v>1368</v>
      </c>
      <c r="E14" s="460"/>
      <c r="F14" s="372"/>
      <c r="G14" s="373"/>
      <c r="H14" s="501">
        <f>SUM(C14:G14)</f>
        <v>1368</v>
      </c>
      <c r="I14" s="148" t="s">
        <v>159</v>
      </c>
      <c r="J14" s="73"/>
      <c r="K14" s="74"/>
      <c r="L14" s="283" t="s">
        <v>115</v>
      </c>
      <c r="N14" s="227" t="s">
        <v>116</v>
      </c>
      <c r="O14" s="212"/>
      <c r="P14" s="212"/>
      <c r="Q14" s="212"/>
    </row>
    <row r="15" spans="1:17" x14ac:dyDescent="0.2">
      <c r="A15" s="702" t="s">
        <v>162</v>
      </c>
      <c r="B15" s="145" t="s">
        <v>203</v>
      </c>
      <c r="C15" s="263">
        <v>5152.8</v>
      </c>
      <c r="D15" s="251"/>
      <c r="E15" s="252"/>
      <c r="F15" s="253"/>
      <c r="G15" s="125"/>
      <c r="H15" s="728">
        <f>SUM(C15:G16)</f>
        <v>7204.8</v>
      </c>
      <c r="I15" s="148" t="s">
        <v>204</v>
      </c>
      <c r="J15" s="73"/>
      <c r="K15" s="74"/>
      <c r="L15" s="283" t="s">
        <v>125</v>
      </c>
      <c r="N15" s="227">
        <v>42096</v>
      </c>
      <c r="O15" s="212"/>
      <c r="P15" s="212"/>
      <c r="Q15" s="212"/>
    </row>
    <row r="16" spans="1:17" x14ac:dyDescent="0.2">
      <c r="A16" s="703"/>
      <c r="B16" s="389" t="s">
        <v>205</v>
      </c>
      <c r="C16" s="401"/>
      <c r="D16" s="402">
        <v>2052</v>
      </c>
      <c r="E16" s="407"/>
      <c r="F16" s="403"/>
      <c r="G16" s="392"/>
      <c r="H16" s="730"/>
      <c r="I16" s="148" t="s">
        <v>114</v>
      </c>
      <c r="J16" s="73"/>
      <c r="K16" s="74"/>
      <c r="L16" s="283" t="s">
        <v>115</v>
      </c>
      <c r="N16" s="227" t="s">
        <v>116</v>
      </c>
      <c r="O16" s="212"/>
      <c r="P16" s="212"/>
      <c r="Q16" s="212"/>
    </row>
    <row r="17" spans="1:18" x14ac:dyDescent="0.2">
      <c r="A17" s="702" t="s">
        <v>206</v>
      </c>
      <c r="B17" s="145" t="s">
        <v>207</v>
      </c>
      <c r="C17" s="369"/>
      <c r="D17" s="370">
        <v>11800</v>
      </c>
      <c r="E17" s="371"/>
      <c r="F17" s="372"/>
      <c r="G17" s="373"/>
      <c r="H17" s="728">
        <f>SUM(C17:G21)</f>
        <v>63700</v>
      </c>
      <c r="I17" s="148" t="s">
        <v>211</v>
      </c>
      <c r="J17" s="73"/>
      <c r="K17" s="74"/>
      <c r="L17" s="283" t="s">
        <v>115</v>
      </c>
      <c r="N17" s="227" t="s">
        <v>116</v>
      </c>
      <c r="O17" s="212"/>
      <c r="P17" s="212"/>
      <c r="Q17" s="212"/>
    </row>
    <row r="18" spans="1:18" x14ac:dyDescent="0.2">
      <c r="A18" s="704"/>
      <c r="B18" s="145" t="s">
        <v>208</v>
      </c>
      <c r="C18" s="250"/>
      <c r="D18" s="251">
        <v>35900</v>
      </c>
      <c r="E18" s="252"/>
      <c r="F18" s="253"/>
      <c r="G18" s="125"/>
      <c r="H18" s="729"/>
      <c r="I18" s="148" t="s">
        <v>211</v>
      </c>
      <c r="J18" s="73"/>
      <c r="K18" s="74"/>
      <c r="L18" s="283" t="s">
        <v>115</v>
      </c>
      <c r="N18" s="227" t="s">
        <v>116</v>
      </c>
      <c r="O18" s="212"/>
      <c r="P18" s="212"/>
      <c r="Q18" s="212"/>
    </row>
    <row r="19" spans="1:18" x14ac:dyDescent="0.2">
      <c r="A19" s="704"/>
      <c r="B19" s="145" t="s">
        <v>209</v>
      </c>
      <c r="C19" s="405"/>
      <c r="D19" s="402">
        <v>3450</v>
      </c>
      <c r="E19" s="407"/>
      <c r="F19" s="403"/>
      <c r="G19" s="392"/>
      <c r="H19" s="729"/>
      <c r="I19" s="148" t="s">
        <v>211</v>
      </c>
      <c r="J19" s="73"/>
      <c r="K19" s="74"/>
      <c r="L19" s="283" t="s">
        <v>115</v>
      </c>
      <c r="N19" s="227" t="s">
        <v>116</v>
      </c>
      <c r="O19" s="212"/>
      <c r="P19" s="212"/>
      <c r="Q19" s="212"/>
    </row>
    <row r="20" spans="1:18" x14ac:dyDescent="0.2">
      <c r="A20" s="704"/>
      <c r="B20" s="145" t="s">
        <v>210</v>
      </c>
      <c r="C20" s="254"/>
      <c r="D20" s="251">
        <v>2750</v>
      </c>
      <c r="E20" s="252"/>
      <c r="F20" s="253"/>
      <c r="G20" s="125"/>
      <c r="H20" s="729"/>
      <c r="I20" s="148" t="s">
        <v>211</v>
      </c>
      <c r="J20" s="73"/>
      <c r="K20" s="74"/>
      <c r="L20" s="283" t="s">
        <v>115</v>
      </c>
      <c r="N20" s="227" t="s">
        <v>116</v>
      </c>
      <c r="O20" s="212"/>
      <c r="P20" s="212"/>
      <c r="Q20" s="212"/>
    </row>
    <row r="21" spans="1:18" x14ac:dyDescent="0.2">
      <c r="A21" s="703"/>
      <c r="B21" s="288" t="s">
        <v>212</v>
      </c>
      <c r="C21" s="374"/>
      <c r="D21" s="304">
        <v>9800</v>
      </c>
      <c r="E21" s="375"/>
      <c r="F21" s="306"/>
      <c r="G21" s="159"/>
      <c r="H21" s="730"/>
      <c r="I21" s="148" t="s">
        <v>211</v>
      </c>
      <c r="J21" s="73"/>
      <c r="K21" s="74"/>
      <c r="L21" s="283" t="s">
        <v>115</v>
      </c>
      <c r="N21" s="227" t="s">
        <v>116</v>
      </c>
      <c r="O21" s="212"/>
      <c r="P21" s="212"/>
      <c r="Q21" s="212"/>
    </row>
    <row r="22" spans="1:18" x14ac:dyDescent="0.2">
      <c r="A22" s="300" t="s">
        <v>167</v>
      </c>
      <c r="B22" s="393" t="s">
        <v>213</v>
      </c>
      <c r="C22" s="401">
        <v>11742</v>
      </c>
      <c r="D22" s="402"/>
      <c r="E22" s="407"/>
      <c r="F22" s="403"/>
      <c r="G22" s="392"/>
      <c r="H22" s="497">
        <f>SUM(C22:G22)</f>
        <v>11742</v>
      </c>
      <c r="I22" s="148" t="s">
        <v>214</v>
      </c>
      <c r="J22" s="73"/>
      <c r="K22" s="74"/>
      <c r="L22" s="160" t="s">
        <v>125</v>
      </c>
      <c r="N22" s="227">
        <v>42122</v>
      </c>
      <c r="O22" s="212"/>
      <c r="P22" s="212"/>
      <c r="Q22" s="212"/>
    </row>
    <row r="23" spans="1:18" x14ac:dyDescent="0.2">
      <c r="A23" s="702" t="s">
        <v>215</v>
      </c>
      <c r="B23" s="145" t="s">
        <v>216</v>
      </c>
      <c r="C23" s="263"/>
      <c r="D23" s="251">
        <v>5928</v>
      </c>
      <c r="E23" s="252"/>
      <c r="F23" s="253"/>
      <c r="G23" s="125"/>
      <c r="H23" s="731">
        <f>SUM(C23:G26)</f>
        <v>34017.600000000006</v>
      </c>
      <c r="I23" s="148" t="s">
        <v>176</v>
      </c>
      <c r="J23" s="73"/>
      <c r="K23" s="74"/>
      <c r="L23" s="283" t="s">
        <v>115</v>
      </c>
      <c r="N23" s="227" t="s">
        <v>116</v>
      </c>
      <c r="O23" s="212"/>
      <c r="P23" s="212"/>
      <c r="Q23" s="212"/>
    </row>
    <row r="24" spans="1:18" x14ac:dyDescent="0.2">
      <c r="A24" s="704"/>
      <c r="B24" s="145" t="s">
        <v>218</v>
      </c>
      <c r="C24" s="374"/>
      <c r="D24" s="304">
        <v>1174.2</v>
      </c>
      <c r="E24" s="375"/>
      <c r="F24" s="306"/>
      <c r="G24" s="159"/>
      <c r="H24" s="732"/>
      <c r="I24" s="148" t="s">
        <v>217</v>
      </c>
      <c r="J24" s="73"/>
      <c r="K24" s="74"/>
      <c r="L24" s="283" t="s">
        <v>115</v>
      </c>
      <c r="N24" s="227" t="s">
        <v>116</v>
      </c>
      <c r="O24" s="212"/>
      <c r="P24" s="212"/>
      <c r="Q24" s="212"/>
    </row>
    <row r="25" spans="1:18" x14ac:dyDescent="0.2">
      <c r="A25" s="704"/>
      <c r="B25" s="145" t="s">
        <v>219</v>
      </c>
      <c r="C25" s="315"/>
      <c r="D25" s="304">
        <v>1368</v>
      </c>
      <c r="E25" s="375"/>
      <c r="F25" s="306"/>
      <c r="G25" s="159"/>
      <c r="H25" s="732"/>
      <c r="I25" s="148" t="s">
        <v>159</v>
      </c>
      <c r="J25" s="73"/>
      <c r="K25" s="74"/>
      <c r="L25" s="283" t="s">
        <v>115</v>
      </c>
      <c r="N25" s="227" t="s">
        <v>116</v>
      </c>
      <c r="O25" s="212"/>
      <c r="P25" s="212"/>
      <c r="Q25" s="212"/>
    </row>
    <row r="26" spans="1:18" ht="13.5" thickBot="1" x14ac:dyDescent="0.25">
      <c r="A26" s="703"/>
      <c r="B26" s="144" t="s">
        <v>220</v>
      </c>
      <c r="C26" s="315"/>
      <c r="D26" s="304">
        <v>25547.4</v>
      </c>
      <c r="E26" s="375"/>
      <c r="F26" s="306"/>
      <c r="G26" s="159"/>
      <c r="H26" s="733"/>
      <c r="I26" s="148" t="s">
        <v>221</v>
      </c>
      <c r="J26" s="73"/>
      <c r="K26" s="74"/>
      <c r="L26" s="283" t="s">
        <v>115</v>
      </c>
      <c r="N26" s="227" t="s">
        <v>116</v>
      </c>
      <c r="O26" s="212"/>
      <c r="P26" s="212"/>
      <c r="Q26" s="212"/>
    </row>
    <row r="27" spans="1:18" s="13" customFormat="1" ht="14.25" thickTop="1" thickBot="1" x14ac:dyDescent="0.25">
      <c r="A27" s="705"/>
      <c r="B27" s="705"/>
      <c r="C27" s="264">
        <f t="shared" ref="C27:H27" si="0">SUM(C5:C26)</f>
        <v>35847.300000000003</v>
      </c>
      <c r="D27" s="264">
        <f t="shared" si="0"/>
        <v>114954.4</v>
      </c>
      <c r="E27" s="264">
        <f t="shared" si="0"/>
        <v>145920</v>
      </c>
      <c r="F27" s="264">
        <f t="shared" si="0"/>
        <v>0</v>
      </c>
      <c r="G27" s="264">
        <f t="shared" si="0"/>
        <v>0</v>
      </c>
      <c r="H27" s="707">
        <f t="shared" si="0"/>
        <v>296721.69999999995</v>
      </c>
      <c r="I27" s="707"/>
      <c r="J27" s="707"/>
      <c r="K27" s="707"/>
      <c r="L27" s="128"/>
      <c r="M27" s="739">
        <f>SUM(C5:G26)</f>
        <v>296721.7</v>
      </c>
      <c r="N27" s="739"/>
      <c r="O27" s="291"/>
      <c r="P27" s="425"/>
      <c r="Q27" s="291"/>
    </row>
    <row r="28" spans="1:18" s="13" customFormat="1" ht="15" customHeight="1" x14ac:dyDescent="0.2">
      <c r="A28" s="303"/>
      <c r="B28" s="146"/>
      <c r="C28" s="745">
        <f>SUM(C27:D27)</f>
        <v>150801.70000000001</v>
      </c>
      <c r="D28" s="746"/>
      <c r="E28" s="747">
        <f>SUM(E27:F27)</f>
        <v>145920</v>
      </c>
      <c r="F28" s="748"/>
      <c r="G28" s="127">
        <f>SUM(G27)</f>
        <v>0</v>
      </c>
      <c r="H28" s="706"/>
      <c r="I28" s="706"/>
      <c r="J28" s="706"/>
      <c r="K28" s="706"/>
      <c r="L28" s="128"/>
      <c r="M28" s="128"/>
      <c r="N28" s="424"/>
      <c r="O28" s="291"/>
      <c r="P28" s="425"/>
      <c r="Q28" s="291"/>
    </row>
    <row r="29" spans="1:18" s="13" customFormat="1" x14ac:dyDescent="0.2">
      <c r="A29" s="303"/>
      <c r="B29" s="146"/>
      <c r="C29" s="265"/>
      <c r="D29" s="265"/>
      <c r="E29" s="265"/>
      <c r="F29" s="265"/>
      <c r="G29" s="9"/>
      <c r="H29" s="726"/>
      <c r="I29" s="727"/>
      <c r="L29" s="8"/>
      <c r="M29" s="8"/>
      <c r="N29" s="424"/>
      <c r="O29" s="291"/>
      <c r="P29" s="426"/>
      <c r="Q29" s="291"/>
    </row>
    <row r="30" spans="1:18" x14ac:dyDescent="0.2">
      <c r="H30" s="734"/>
      <c r="I30" s="734"/>
      <c r="J30" s="740"/>
      <c r="K30" s="740"/>
      <c r="O30" s="231"/>
      <c r="P30" s="212"/>
      <c r="Q30" s="330"/>
      <c r="R30" s="212"/>
    </row>
    <row r="31" spans="1:18" ht="15" x14ac:dyDescent="0.2">
      <c r="A31" s="124" t="s">
        <v>17</v>
      </c>
      <c r="O31" s="231"/>
      <c r="P31" s="212"/>
      <c r="Q31" s="212"/>
      <c r="R31" s="212"/>
    </row>
    <row r="32" spans="1:18" s="161" customFormat="1" ht="7.5" customHeight="1" x14ac:dyDescent="0.2">
      <c r="A32" s="4"/>
      <c r="B32" s="143"/>
      <c r="C32" s="257"/>
      <c r="D32" s="257"/>
      <c r="E32" s="257"/>
      <c r="F32" s="257"/>
      <c r="G32" s="1"/>
      <c r="H32" s="1"/>
      <c r="I32"/>
      <c r="J32"/>
      <c r="K32"/>
      <c r="L32"/>
      <c r="M32"/>
      <c r="N32"/>
      <c r="P32"/>
    </row>
    <row r="33" spans="1:16" s="161" customFormat="1" ht="17.25" customHeight="1" thickBot="1" x14ac:dyDescent="0.25">
      <c r="A33" s="217"/>
      <c r="B33" s="218" t="s">
        <v>83</v>
      </c>
      <c r="C33" s="266"/>
      <c r="D33" s="257"/>
      <c r="E33" s="257"/>
      <c r="F33" s="257"/>
      <c r="G33" s="1"/>
      <c r="H33" s="1"/>
      <c r="I33"/>
      <c r="J33"/>
      <c r="K33"/>
      <c r="L33"/>
      <c r="M33"/>
      <c r="N33"/>
      <c r="P33"/>
    </row>
    <row r="34" spans="1:16" s="161" customFormat="1" ht="13.5" thickBot="1" x14ac:dyDescent="0.25">
      <c r="A34" s="711"/>
      <c r="B34" s="712"/>
      <c r="C34" s="267" t="s">
        <v>15</v>
      </c>
      <c r="D34" s="432" t="s">
        <v>48</v>
      </c>
      <c r="E34" s="268" t="s">
        <v>44</v>
      </c>
      <c r="F34" s="331" t="s">
        <v>42</v>
      </c>
      <c r="G34" s="157" t="s">
        <v>72</v>
      </c>
      <c r="H34" s="157" t="s">
        <v>61</v>
      </c>
      <c r="I34" s="157" t="s">
        <v>9</v>
      </c>
      <c r="J34" s="157" t="s">
        <v>47</v>
      </c>
      <c r="L34"/>
    </row>
    <row r="35" spans="1:16" s="161" customFormat="1" x14ac:dyDescent="0.2">
      <c r="A35" s="741" t="s">
        <v>190</v>
      </c>
      <c r="B35" s="742"/>
      <c r="C35" s="269">
        <v>5312.4</v>
      </c>
      <c r="D35" s="433"/>
      <c r="E35" s="270"/>
      <c r="F35" s="517"/>
      <c r="G35" s="173"/>
      <c r="H35" s="173"/>
      <c r="I35" s="173"/>
      <c r="J35" s="174"/>
      <c r="L35"/>
    </row>
    <row r="36" spans="1:16" s="161" customFormat="1" x14ac:dyDescent="0.2">
      <c r="A36" s="724" t="s">
        <v>193</v>
      </c>
      <c r="B36" s="725"/>
      <c r="C36" s="429"/>
      <c r="D36" s="434"/>
      <c r="E36" s="430"/>
      <c r="F36" s="518"/>
      <c r="G36" s="182"/>
      <c r="H36" s="182"/>
      <c r="I36" s="182"/>
      <c r="J36" s="118">
        <v>3420</v>
      </c>
      <c r="L36"/>
    </row>
    <row r="37" spans="1:16" s="161" customFormat="1" x14ac:dyDescent="0.2">
      <c r="A37" s="724" t="s">
        <v>194</v>
      </c>
      <c r="B37" s="725"/>
      <c r="C37" s="272"/>
      <c r="D37" s="435"/>
      <c r="E37" s="273"/>
      <c r="F37" s="519"/>
      <c r="G37" s="168"/>
      <c r="H37" s="168"/>
      <c r="I37" s="168">
        <v>3853.2</v>
      </c>
      <c r="J37" s="120"/>
      <c r="L37"/>
    </row>
    <row r="38" spans="1:16" s="161" customFormat="1" x14ac:dyDescent="0.2">
      <c r="A38" s="692" t="s">
        <v>196</v>
      </c>
      <c r="B38" s="701"/>
      <c r="C38" s="272"/>
      <c r="D38" s="435"/>
      <c r="E38" s="273">
        <v>1231.2</v>
      </c>
      <c r="F38" s="519"/>
      <c r="G38" s="168"/>
      <c r="H38" s="168"/>
      <c r="I38" s="168"/>
      <c r="J38" s="120"/>
      <c r="L38"/>
    </row>
    <row r="39" spans="1:16" s="161" customFormat="1" x14ac:dyDescent="0.2">
      <c r="A39" s="692" t="s">
        <v>202</v>
      </c>
      <c r="B39" s="701"/>
      <c r="C39" s="272"/>
      <c r="D39" s="435"/>
      <c r="E39" s="273">
        <v>1368</v>
      </c>
      <c r="F39" s="519"/>
      <c r="G39" s="168"/>
      <c r="H39" s="168"/>
      <c r="I39" s="168"/>
      <c r="J39" s="120"/>
      <c r="L39"/>
    </row>
    <row r="40" spans="1:16" s="161" customFormat="1" x14ac:dyDescent="0.2">
      <c r="A40" s="692" t="s">
        <v>205</v>
      </c>
      <c r="B40" s="701"/>
      <c r="C40" s="272"/>
      <c r="D40" s="435"/>
      <c r="E40" s="274"/>
      <c r="F40" s="253"/>
      <c r="G40" s="168"/>
      <c r="H40" s="168"/>
      <c r="I40" s="168">
        <v>2052</v>
      </c>
      <c r="J40" s="251"/>
      <c r="L40"/>
    </row>
    <row r="41" spans="1:16" s="161" customFormat="1" x14ac:dyDescent="0.2">
      <c r="A41" s="692" t="s">
        <v>207</v>
      </c>
      <c r="B41" s="701"/>
      <c r="C41" s="272"/>
      <c r="D41" s="435"/>
      <c r="E41" s="274"/>
      <c r="F41" s="253"/>
      <c r="G41" s="168">
        <v>11800</v>
      </c>
      <c r="H41" s="168"/>
      <c r="I41" s="168"/>
      <c r="J41" s="251"/>
      <c r="L41"/>
    </row>
    <row r="42" spans="1:16" s="161" customFormat="1" x14ac:dyDescent="0.2">
      <c r="A42" s="692" t="s">
        <v>208</v>
      </c>
      <c r="B42" s="701"/>
      <c r="C42" s="272"/>
      <c r="D42" s="435"/>
      <c r="E42" s="273"/>
      <c r="F42" s="519"/>
      <c r="G42" s="168">
        <v>35900</v>
      </c>
      <c r="H42" s="168"/>
      <c r="I42" s="168"/>
      <c r="J42" s="120"/>
      <c r="L42"/>
    </row>
    <row r="43" spans="1:16" s="161" customFormat="1" x14ac:dyDescent="0.2">
      <c r="A43" s="692" t="s">
        <v>209</v>
      </c>
      <c r="B43" s="701"/>
      <c r="C43" s="275"/>
      <c r="D43" s="436"/>
      <c r="E43" s="276"/>
      <c r="F43" s="520"/>
      <c r="G43" s="240">
        <v>3450</v>
      </c>
      <c r="H43" s="248"/>
      <c r="I43" s="240"/>
      <c r="J43" s="221"/>
      <c r="L43"/>
    </row>
    <row r="44" spans="1:16" s="161" customFormat="1" x14ac:dyDescent="0.2">
      <c r="A44" s="692" t="s">
        <v>210</v>
      </c>
      <c r="B44" s="701"/>
      <c r="C44" s="275"/>
      <c r="D44" s="436"/>
      <c r="E44" s="276"/>
      <c r="F44" s="520"/>
      <c r="G44" s="240">
        <v>2750</v>
      </c>
      <c r="H44" s="248"/>
      <c r="I44" s="240"/>
      <c r="J44" s="221"/>
      <c r="L44"/>
    </row>
    <row r="45" spans="1:16" s="161" customFormat="1" x14ac:dyDescent="0.2">
      <c r="A45" s="692" t="s">
        <v>212</v>
      </c>
      <c r="B45" s="701"/>
      <c r="C45" s="275"/>
      <c r="D45" s="436"/>
      <c r="E45" s="276"/>
      <c r="F45" s="436"/>
      <c r="G45" s="523">
        <v>9800</v>
      </c>
      <c r="H45" s="277"/>
      <c r="I45" s="277"/>
      <c r="J45" s="308"/>
      <c r="L45"/>
    </row>
    <row r="46" spans="1:16" s="161" customFormat="1" x14ac:dyDescent="0.2">
      <c r="A46" s="692" t="s">
        <v>216</v>
      </c>
      <c r="B46" s="701"/>
      <c r="C46" s="275"/>
      <c r="D46" s="436">
        <v>5928</v>
      </c>
      <c r="E46" s="276"/>
      <c r="F46" s="521"/>
      <c r="G46" s="248"/>
      <c r="H46" s="248"/>
      <c r="I46" s="240"/>
      <c r="J46" s="221"/>
      <c r="L46"/>
    </row>
    <row r="47" spans="1:16" s="161" customFormat="1" x14ac:dyDescent="0.2">
      <c r="A47" s="692" t="s">
        <v>218</v>
      </c>
      <c r="B47" s="701"/>
      <c r="C47" s="275"/>
      <c r="D47" s="436"/>
      <c r="E47" s="276"/>
      <c r="F47" s="521"/>
      <c r="G47" s="248"/>
      <c r="H47" s="248">
        <v>1174.2</v>
      </c>
      <c r="I47" s="240"/>
      <c r="J47" s="221"/>
      <c r="L47"/>
    </row>
    <row r="48" spans="1:16" s="161" customFormat="1" x14ac:dyDescent="0.2">
      <c r="A48" s="692" t="s">
        <v>219</v>
      </c>
      <c r="B48" s="701"/>
      <c r="C48" s="275"/>
      <c r="D48" s="436"/>
      <c r="E48" s="276">
        <v>1368</v>
      </c>
      <c r="F48" s="521"/>
      <c r="G48" s="248"/>
      <c r="H48" s="248"/>
      <c r="I48" s="240"/>
      <c r="J48" s="221"/>
      <c r="L48"/>
    </row>
    <row r="49" spans="1:16" s="161" customFormat="1" ht="13.5" thickBot="1" x14ac:dyDescent="0.25">
      <c r="A49" s="697" t="s">
        <v>220</v>
      </c>
      <c r="B49" s="723"/>
      <c r="C49" s="278"/>
      <c r="D49" s="437"/>
      <c r="E49" s="279"/>
      <c r="F49" s="522">
        <v>25547.4</v>
      </c>
      <c r="G49" s="386"/>
      <c r="H49" s="386"/>
      <c r="I49" s="440"/>
      <c r="J49" s="525"/>
      <c r="L49"/>
    </row>
    <row r="50" spans="1:16" ht="13.5" thickBot="1" x14ac:dyDescent="0.25">
      <c r="C50" s="281">
        <f t="shared" ref="C50:J50" si="1">SUM(C35:C49)</f>
        <v>5312.4</v>
      </c>
      <c r="D50" s="282">
        <f t="shared" si="1"/>
        <v>5928</v>
      </c>
      <c r="E50" s="282">
        <f t="shared" si="1"/>
        <v>3967.2</v>
      </c>
      <c r="F50" s="282">
        <f t="shared" si="1"/>
        <v>25547.4</v>
      </c>
      <c r="G50" s="187">
        <f t="shared" si="1"/>
        <v>63700</v>
      </c>
      <c r="H50" s="282">
        <f t="shared" si="1"/>
        <v>1174.2</v>
      </c>
      <c r="I50" s="187">
        <f t="shared" si="1"/>
        <v>5905.2</v>
      </c>
      <c r="J50" s="526">
        <f t="shared" si="1"/>
        <v>3420</v>
      </c>
      <c r="K50" s="699">
        <f>SUM(C50:J50)</f>
        <v>114954.4</v>
      </c>
      <c r="L50" s="700"/>
      <c r="O50"/>
    </row>
    <row r="51" spans="1:16" x14ac:dyDescent="0.2">
      <c r="D51" s="524" t="s">
        <v>222</v>
      </c>
      <c r="E51" s="524" t="s">
        <v>222</v>
      </c>
      <c r="G51" s="524" t="s">
        <v>222</v>
      </c>
      <c r="H51" s="524" t="s">
        <v>222</v>
      </c>
      <c r="I51" s="524" t="s">
        <v>222</v>
      </c>
      <c r="O51"/>
      <c r="P51" s="161"/>
    </row>
    <row r="52" spans="1:16" x14ac:dyDescent="0.2">
      <c r="I52" s="321"/>
      <c r="K52" s="690"/>
      <c r="L52" s="722"/>
    </row>
    <row r="53" spans="1:16" x14ac:dyDescent="0.2">
      <c r="I53" s="321"/>
    </row>
  </sheetData>
  <mergeCells count="42">
    <mergeCell ref="K52:L52"/>
    <mergeCell ref="J30:K30"/>
    <mergeCell ref="I4:K4"/>
    <mergeCell ref="A35:B35"/>
    <mergeCell ref="G2:G4"/>
    <mergeCell ref="C3:D3"/>
    <mergeCell ref="E3:F3"/>
    <mergeCell ref="A27:B27"/>
    <mergeCell ref="H27:K28"/>
    <mergeCell ref="C28:D28"/>
    <mergeCell ref="E28:F28"/>
    <mergeCell ref="A34:B34"/>
    <mergeCell ref="A9:A10"/>
    <mergeCell ref="H9:H10"/>
    <mergeCell ref="A11:A13"/>
    <mergeCell ref="H11:H13"/>
    <mergeCell ref="A5:A6"/>
    <mergeCell ref="H5:H6"/>
    <mergeCell ref="M27:N27"/>
    <mergeCell ref="A15:A16"/>
    <mergeCell ref="H15:H16"/>
    <mergeCell ref="A23:A26"/>
    <mergeCell ref="A41:B41"/>
    <mergeCell ref="A36:B36"/>
    <mergeCell ref="H29:I29"/>
    <mergeCell ref="A17:A21"/>
    <mergeCell ref="H17:H21"/>
    <mergeCell ref="A39:B39"/>
    <mergeCell ref="A38:B38"/>
    <mergeCell ref="A40:B40"/>
    <mergeCell ref="A37:B37"/>
    <mergeCell ref="H23:H26"/>
    <mergeCell ref="H30:I30"/>
    <mergeCell ref="K50:L50"/>
    <mergeCell ref="A42:B42"/>
    <mergeCell ref="A43:B43"/>
    <mergeCell ref="A44:B44"/>
    <mergeCell ref="A45:B45"/>
    <mergeCell ref="A46:B46"/>
    <mergeCell ref="A47:B47"/>
    <mergeCell ref="A48:B48"/>
    <mergeCell ref="A49:B49"/>
  </mergeCells>
  <printOptions horizontalCentered="1"/>
  <pageMargins left="0.15748031496062992" right="0.15748031496062992" top="0.15748031496062992" bottom="0.35433070866141736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Q56"/>
  <sheetViews>
    <sheetView zoomScaleNormal="100" workbookViewId="0">
      <pane ySplit="4" topLeftCell="A5" activePane="bottomLeft" state="frozenSplit"/>
      <selection pane="bottomLeft" activeCell="I24" sqref="I24"/>
    </sheetView>
  </sheetViews>
  <sheetFormatPr defaultRowHeight="12.75" x14ac:dyDescent="0.2"/>
  <cols>
    <col min="1" max="1" width="2.42578125" style="324" customWidth="1"/>
    <col min="2" max="2" width="6.42578125" style="143" customWidth="1"/>
    <col min="3" max="4" width="10.7109375" style="257" customWidth="1"/>
    <col min="5" max="5" width="11.28515625" style="257" customWidth="1"/>
    <col min="6" max="6" width="10.85546875" style="257" customWidth="1"/>
    <col min="7" max="7" width="7.7109375" style="1" customWidth="1"/>
    <col min="8" max="8" width="12.28515625" style="1" customWidth="1"/>
    <col min="9" max="9" width="12.28515625" customWidth="1"/>
    <col min="10" max="10" width="11.140625" customWidth="1"/>
    <col min="11" max="11" width="5.85546875" customWidth="1"/>
    <col min="12" max="12" width="11.42578125" customWidth="1"/>
    <col min="13" max="14" width="10.7109375" customWidth="1"/>
    <col min="15" max="15" width="10.7109375" style="161" customWidth="1"/>
    <col min="16" max="16" width="10.7109375" customWidth="1"/>
    <col min="17" max="17" width="14.140625" customWidth="1"/>
    <col min="18" max="18" width="13.28515625" customWidth="1"/>
    <col min="19" max="19" width="13.7109375" customWidth="1"/>
    <col min="20" max="20" width="13.140625" customWidth="1"/>
  </cols>
  <sheetData>
    <row r="1" spans="1:17" ht="15" x14ac:dyDescent="0.25">
      <c r="A1" s="100" t="s">
        <v>107</v>
      </c>
      <c r="C1" s="256"/>
    </row>
    <row r="2" spans="1:17" ht="5.25" customHeight="1" thickBot="1" x14ac:dyDescent="0.25">
      <c r="A2" s="325"/>
      <c r="B2" s="307"/>
      <c r="C2" s="258"/>
      <c r="D2" s="259"/>
      <c r="E2" s="259"/>
      <c r="F2" s="259"/>
      <c r="G2" s="716" t="s">
        <v>90</v>
      </c>
      <c r="H2" s="442"/>
      <c r="I2" s="212"/>
    </row>
    <row r="3" spans="1:17" ht="17.25" customHeight="1" x14ac:dyDescent="0.2">
      <c r="A3" s="325"/>
      <c r="B3" s="307"/>
      <c r="C3" s="743" t="s">
        <v>83</v>
      </c>
      <c r="D3" s="744"/>
      <c r="E3" s="743" t="s">
        <v>82</v>
      </c>
      <c r="F3" s="744"/>
      <c r="G3" s="716"/>
      <c r="H3" s="212"/>
      <c r="N3" s="161"/>
      <c r="O3"/>
    </row>
    <row r="4" spans="1:17" ht="13.5" thickBot="1" x14ac:dyDescent="0.25">
      <c r="A4" s="141" t="s">
        <v>6</v>
      </c>
      <c r="B4" s="172" t="s">
        <v>18</v>
      </c>
      <c r="C4" s="260" t="s">
        <v>7</v>
      </c>
      <c r="D4" s="261" t="s">
        <v>8</v>
      </c>
      <c r="E4" s="260" t="s">
        <v>86</v>
      </c>
      <c r="F4" s="262" t="s">
        <v>8</v>
      </c>
      <c r="G4" s="717"/>
      <c r="H4" s="323" t="s">
        <v>0</v>
      </c>
      <c r="I4" s="715" t="s">
        <v>19</v>
      </c>
      <c r="J4" s="715"/>
      <c r="K4" s="715"/>
      <c r="N4" s="161"/>
      <c r="O4"/>
    </row>
    <row r="5" spans="1:17" x14ac:dyDescent="0.2">
      <c r="A5" s="735" t="s">
        <v>223</v>
      </c>
      <c r="B5" s="358" t="s">
        <v>224</v>
      </c>
      <c r="C5" s="404"/>
      <c r="D5" s="370">
        <v>3123.6</v>
      </c>
      <c r="E5" s="371"/>
      <c r="F5" s="372"/>
      <c r="G5" s="498"/>
      <c r="H5" s="749">
        <f>SUM(C5:G6)</f>
        <v>5403.6</v>
      </c>
      <c r="I5" s="148" t="s">
        <v>226</v>
      </c>
      <c r="J5" s="73"/>
      <c r="K5" s="74"/>
      <c r="L5" s="283" t="s">
        <v>115</v>
      </c>
      <c r="N5" s="227" t="s">
        <v>116</v>
      </c>
      <c r="O5" s="438"/>
      <c r="P5" s="212"/>
      <c r="Q5" s="212"/>
    </row>
    <row r="6" spans="1:17" x14ac:dyDescent="0.2">
      <c r="A6" s="736"/>
      <c r="B6" s="358" t="s">
        <v>225</v>
      </c>
      <c r="C6" s="404"/>
      <c r="D6" s="370">
        <v>2280</v>
      </c>
      <c r="E6" s="319"/>
      <c r="F6" s="372"/>
      <c r="G6" s="373"/>
      <c r="H6" s="729"/>
      <c r="I6" s="148" t="s">
        <v>226</v>
      </c>
      <c r="J6" s="73"/>
      <c r="K6" s="74"/>
      <c r="L6" s="283" t="s">
        <v>115</v>
      </c>
      <c r="N6" s="227" t="s">
        <v>116</v>
      </c>
      <c r="O6" s="438"/>
      <c r="P6" s="226"/>
    </row>
    <row r="7" spans="1:17" x14ac:dyDescent="0.2">
      <c r="A7" s="702" t="s">
        <v>187</v>
      </c>
      <c r="B7" s="145" t="s">
        <v>227</v>
      </c>
      <c r="C7" s="420"/>
      <c r="D7" s="251">
        <v>8527.2000000000007</v>
      </c>
      <c r="E7" s="255"/>
      <c r="F7" s="253"/>
      <c r="G7" s="125"/>
      <c r="H7" s="728">
        <f>SUM(C7:G8)</f>
        <v>13087.2</v>
      </c>
      <c r="I7" s="148" t="s">
        <v>229</v>
      </c>
      <c r="J7" s="73"/>
      <c r="K7" s="74"/>
      <c r="L7" s="283" t="s">
        <v>115</v>
      </c>
      <c r="N7" s="227" t="s">
        <v>116</v>
      </c>
      <c r="O7"/>
    </row>
    <row r="8" spans="1:17" x14ac:dyDescent="0.2">
      <c r="A8" s="703"/>
      <c r="B8" s="144" t="s">
        <v>228</v>
      </c>
      <c r="C8" s="421"/>
      <c r="D8" s="304">
        <v>4560</v>
      </c>
      <c r="E8" s="305"/>
      <c r="F8" s="306"/>
      <c r="G8" s="159"/>
      <c r="H8" s="730"/>
      <c r="I8" s="148" t="s">
        <v>230</v>
      </c>
      <c r="J8" s="73"/>
      <c r="K8" s="74"/>
      <c r="L8" s="283" t="s">
        <v>115</v>
      </c>
      <c r="N8" s="227" t="s">
        <v>116</v>
      </c>
      <c r="O8" s="438"/>
    </row>
    <row r="9" spans="1:17" x14ac:dyDescent="0.2">
      <c r="A9" s="702" t="s">
        <v>146</v>
      </c>
      <c r="B9" s="389" t="s">
        <v>231</v>
      </c>
      <c r="C9" s="419"/>
      <c r="D9" s="402">
        <v>855</v>
      </c>
      <c r="E9" s="407"/>
      <c r="F9" s="403"/>
      <c r="G9" s="392"/>
      <c r="H9" s="728">
        <f>SUM(C9:G11)</f>
        <v>12175.2</v>
      </c>
      <c r="I9" s="148" t="s">
        <v>114</v>
      </c>
      <c r="J9" s="73"/>
      <c r="K9" s="74"/>
      <c r="L9" s="283" t="s">
        <v>115</v>
      </c>
      <c r="N9" s="227" t="s">
        <v>116</v>
      </c>
      <c r="O9"/>
    </row>
    <row r="10" spans="1:17" x14ac:dyDescent="0.2">
      <c r="A10" s="704"/>
      <c r="B10" s="145" t="s">
        <v>232</v>
      </c>
      <c r="C10" s="263"/>
      <c r="D10" s="251">
        <v>4947.6000000000004</v>
      </c>
      <c r="E10" s="252"/>
      <c r="F10" s="253"/>
      <c r="G10" s="125"/>
      <c r="H10" s="729"/>
      <c r="I10" s="148" t="s">
        <v>159</v>
      </c>
      <c r="J10" s="73"/>
      <c r="K10" s="74"/>
      <c r="L10" s="283" t="s">
        <v>115</v>
      </c>
      <c r="N10" s="227" t="s">
        <v>116</v>
      </c>
      <c r="O10" s="293"/>
    </row>
    <row r="11" spans="1:17" x14ac:dyDescent="0.2">
      <c r="A11" s="703"/>
      <c r="B11" s="389" t="s">
        <v>233</v>
      </c>
      <c r="C11" s="406"/>
      <c r="D11" s="402">
        <v>6372.6</v>
      </c>
      <c r="E11" s="407"/>
      <c r="F11" s="403"/>
      <c r="G11" s="392"/>
      <c r="H11" s="730"/>
      <c r="I11" s="148" t="s">
        <v>176</v>
      </c>
      <c r="J11" s="73"/>
      <c r="K11" s="74"/>
      <c r="L11" s="283" t="s">
        <v>115</v>
      </c>
      <c r="N11" s="227" t="s">
        <v>116</v>
      </c>
      <c r="O11"/>
    </row>
    <row r="12" spans="1:17" x14ac:dyDescent="0.2">
      <c r="A12" s="702" t="s">
        <v>192</v>
      </c>
      <c r="B12" s="358" t="s">
        <v>234</v>
      </c>
      <c r="C12" s="335"/>
      <c r="D12" s="370">
        <v>3123.6</v>
      </c>
      <c r="E12" s="460"/>
      <c r="F12" s="372"/>
      <c r="G12" s="373"/>
      <c r="H12" s="728">
        <f>SUM(C12:G15)</f>
        <v>34006.199999999997</v>
      </c>
      <c r="I12" s="148" t="s">
        <v>226</v>
      </c>
      <c r="J12" s="73"/>
      <c r="K12" s="74"/>
      <c r="L12" s="283" t="s">
        <v>115</v>
      </c>
      <c r="N12" s="227" t="s">
        <v>116</v>
      </c>
      <c r="O12"/>
    </row>
    <row r="13" spans="1:17" x14ac:dyDescent="0.2">
      <c r="A13" s="704"/>
      <c r="B13" s="145" t="s">
        <v>235</v>
      </c>
      <c r="C13" s="263"/>
      <c r="D13" s="251">
        <v>25536</v>
      </c>
      <c r="E13" s="252"/>
      <c r="F13" s="253"/>
      <c r="G13" s="125"/>
      <c r="H13" s="729"/>
      <c r="I13" s="148" t="s">
        <v>236</v>
      </c>
      <c r="J13" s="73"/>
      <c r="K13" s="74"/>
      <c r="L13" s="283" t="s">
        <v>115</v>
      </c>
      <c r="N13" s="227" t="s">
        <v>116</v>
      </c>
      <c r="O13"/>
    </row>
    <row r="14" spans="1:17" x14ac:dyDescent="0.2">
      <c r="A14" s="704"/>
      <c r="B14" s="144" t="s">
        <v>238</v>
      </c>
      <c r="C14" s="374"/>
      <c r="D14" s="304">
        <v>399</v>
      </c>
      <c r="E14" s="305"/>
      <c r="F14" s="306"/>
      <c r="G14" s="159"/>
      <c r="H14" s="729"/>
      <c r="I14" s="148" t="s">
        <v>159</v>
      </c>
      <c r="J14" s="73"/>
      <c r="K14" s="74"/>
      <c r="L14" s="283" t="s">
        <v>115</v>
      </c>
      <c r="N14" s="227" t="s">
        <v>116</v>
      </c>
      <c r="O14"/>
    </row>
    <row r="15" spans="1:17" x14ac:dyDescent="0.2">
      <c r="A15" s="703"/>
      <c r="B15" s="389" t="s">
        <v>239</v>
      </c>
      <c r="C15" s="401"/>
      <c r="D15" s="402">
        <v>4947.6000000000004</v>
      </c>
      <c r="E15" s="407"/>
      <c r="F15" s="403"/>
      <c r="G15" s="392"/>
      <c r="H15" s="730"/>
      <c r="I15" s="148" t="s">
        <v>159</v>
      </c>
      <c r="J15" s="73"/>
      <c r="K15" s="74"/>
      <c r="L15" s="283" t="s">
        <v>115</v>
      </c>
      <c r="N15" s="227" t="s">
        <v>116</v>
      </c>
      <c r="O15"/>
    </row>
    <row r="16" spans="1:17" x14ac:dyDescent="0.2">
      <c r="A16" s="702" t="s">
        <v>155</v>
      </c>
      <c r="B16" s="145" t="s">
        <v>240</v>
      </c>
      <c r="C16" s="254"/>
      <c r="D16" s="251">
        <v>22120</v>
      </c>
      <c r="E16" s="252"/>
      <c r="F16" s="253"/>
      <c r="G16" s="125"/>
      <c r="H16" s="728">
        <f>SUM(C16:G17)</f>
        <v>102980</v>
      </c>
      <c r="I16" s="148" t="s">
        <v>130</v>
      </c>
      <c r="J16" s="73"/>
      <c r="K16" s="74"/>
      <c r="L16" s="283" t="s">
        <v>115</v>
      </c>
      <c r="N16" s="227" t="s">
        <v>116</v>
      </c>
      <c r="O16"/>
    </row>
    <row r="17" spans="1:17" x14ac:dyDescent="0.2">
      <c r="A17" s="703"/>
      <c r="B17" s="144" t="s">
        <v>241</v>
      </c>
      <c r="C17" s="374"/>
      <c r="D17" s="304">
        <v>80860</v>
      </c>
      <c r="E17" s="375"/>
      <c r="F17" s="306"/>
      <c r="G17" s="159"/>
      <c r="H17" s="730"/>
      <c r="I17" s="148" t="s">
        <v>130</v>
      </c>
      <c r="J17" s="73"/>
      <c r="K17" s="74"/>
      <c r="L17" s="283" t="s">
        <v>115</v>
      </c>
      <c r="N17" s="227" t="s">
        <v>116</v>
      </c>
      <c r="O17"/>
    </row>
    <row r="18" spans="1:17" x14ac:dyDescent="0.2">
      <c r="A18" s="702" t="s">
        <v>242</v>
      </c>
      <c r="B18" s="144" t="s">
        <v>244</v>
      </c>
      <c r="C18" s="374"/>
      <c r="D18" s="304">
        <v>684</v>
      </c>
      <c r="E18" s="305"/>
      <c r="F18" s="305"/>
      <c r="G18" s="159"/>
      <c r="H18" s="728">
        <f>SUM(C18:G19)</f>
        <v>3032.4</v>
      </c>
      <c r="I18" s="148" t="s">
        <v>176</v>
      </c>
      <c r="J18" s="73"/>
      <c r="K18" s="74"/>
      <c r="L18" s="283" t="s">
        <v>115</v>
      </c>
      <c r="N18" s="227" t="s">
        <v>116</v>
      </c>
      <c r="O18"/>
    </row>
    <row r="19" spans="1:17" x14ac:dyDescent="0.2">
      <c r="A19" s="703"/>
      <c r="B19" s="389" t="s">
        <v>245</v>
      </c>
      <c r="C19" s="401"/>
      <c r="D19" s="402">
        <v>2348.4</v>
      </c>
      <c r="E19" s="418"/>
      <c r="F19" s="499"/>
      <c r="G19" s="392"/>
      <c r="H19" s="730"/>
      <c r="I19" s="148" t="s">
        <v>243</v>
      </c>
      <c r="J19" s="73"/>
      <c r="K19" s="74"/>
      <c r="L19" s="283" t="s">
        <v>115</v>
      </c>
      <c r="N19" s="227" t="s">
        <v>116</v>
      </c>
      <c r="O19"/>
    </row>
    <row r="20" spans="1:17" x14ac:dyDescent="0.2">
      <c r="A20" s="184" t="s">
        <v>162</v>
      </c>
      <c r="B20" s="145" t="s">
        <v>246</v>
      </c>
      <c r="C20" s="254"/>
      <c r="D20" s="251"/>
      <c r="E20" s="530">
        <v>9405</v>
      </c>
      <c r="F20" s="502"/>
      <c r="G20" s="125"/>
      <c r="H20" s="501">
        <f t="shared" ref="H20:H26" si="0">SUM(C20:G20)</f>
        <v>9405</v>
      </c>
      <c r="I20" s="148" t="s">
        <v>179</v>
      </c>
      <c r="J20" s="527"/>
      <c r="K20" s="528"/>
      <c r="L20" s="283" t="s">
        <v>125</v>
      </c>
      <c r="N20" s="227">
        <v>42145</v>
      </c>
      <c r="O20"/>
    </row>
    <row r="21" spans="1:17" x14ac:dyDescent="0.2">
      <c r="A21" s="477" t="s">
        <v>206</v>
      </c>
      <c r="B21" s="144" t="s">
        <v>247</v>
      </c>
      <c r="C21" s="374"/>
      <c r="D21" s="304">
        <v>23598</v>
      </c>
      <c r="E21" s="305"/>
      <c r="F21" s="441"/>
      <c r="G21" s="159"/>
      <c r="H21" s="501">
        <f t="shared" si="0"/>
        <v>23598</v>
      </c>
      <c r="I21" s="148" t="s">
        <v>159</v>
      </c>
      <c r="J21" s="73"/>
      <c r="K21" s="74"/>
      <c r="L21" s="283" t="s">
        <v>115</v>
      </c>
      <c r="N21" s="227" t="s">
        <v>116</v>
      </c>
      <c r="O21"/>
    </row>
    <row r="22" spans="1:17" x14ac:dyDescent="0.2">
      <c r="A22" s="184" t="s">
        <v>170</v>
      </c>
      <c r="B22" s="144" t="s">
        <v>248</v>
      </c>
      <c r="C22" s="315">
        <v>1174.2</v>
      </c>
      <c r="D22" s="304"/>
      <c r="E22" s="305"/>
      <c r="F22" s="441"/>
      <c r="G22" s="159"/>
      <c r="H22" s="501">
        <f t="shared" si="0"/>
        <v>1174.2</v>
      </c>
      <c r="I22" s="148" t="s">
        <v>249</v>
      </c>
      <c r="J22" s="73"/>
      <c r="K22" s="74"/>
      <c r="L22" s="283" t="s">
        <v>125</v>
      </c>
      <c r="N22" s="227">
        <v>42149</v>
      </c>
      <c r="O22"/>
    </row>
    <row r="23" spans="1:17" x14ac:dyDescent="0.2">
      <c r="A23" s="702" t="s">
        <v>181</v>
      </c>
      <c r="B23" s="144" t="s">
        <v>250</v>
      </c>
      <c r="C23" s="315"/>
      <c r="D23" s="304">
        <v>684</v>
      </c>
      <c r="E23" s="305"/>
      <c r="F23" s="441"/>
      <c r="G23" s="159"/>
      <c r="H23" s="731">
        <f>SUM(C23:G24)</f>
        <v>12403.2</v>
      </c>
      <c r="I23" s="148" t="s">
        <v>176</v>
      </c>
      <c r="J23" s="73"/>
      <c r="K23" s="74"/>
      <c r="L23" s="283" t="s">
        <v>115</v>
      </c>
      <c r="N23" s="227" t="s">
        <v>116</v>
      </c>
      <c r="O23"/>
    </row>
    <row r="24" spans="1:17" x14ac:dyDescent="0.2">
      <c r="A24" s="703"/>
      <c r="B24" s="144" t="s">
        <v>282</v>
      </c>
      <c r="C24" s="263">
        <v>11719.2</v>
      </c>
      <c r="D24" s="251"/>
      <c r="E24" s="255"/>
      <c r="F24" s="502"/>
      <c r="G24" s="125"/>
      <c r="H24" s="733"/>
      <c r="I24" s="148" t="s">
        <v>148</v>
      </c>
      <c r="J24" s="73"/>
      <c r="K24" s="74"/>
      <c r="L24" s="283" t="s">
        <v>149</v>
      </c>
      <c r="N24" s="227">
        <v>42185</v>
      </c>
      <c r="O24"/>
    </row>
    <row r="25" spans="1:17" x14ac:dyDescent="0.2">
      <c r="A25" s="299" t="s">
        <v>251</v>
      </c>
      <c r="B25" s="389" t="s">
        <v>252</v>
      </c>
      <c r="C25" s="401">
        <v>1938</v>
      </c>
      <c r="D25" s="402"/>
      <c r="E25" s="418"/>
      <c r="F25" s="499"/>
      <c r="G25" s="392"/>
      <c r="H25" s="542">
        <f t="shared" si="0"/>
        <v>1938</v>
      </c>
      <c r="I25" s="148" t="s">
        <v>253</v>
      </c>
      <c r="J25" s="73"/>
      <c r="K25" s="74"/>
      <c r="L25" s="283" t="s">
        <v>149</v>
      </c>
      <c r="N25" s="227">
        <v>42173</v>
      </c>
      <c r="O25"/>
    </row>
    <row r="26" spans="1:17" ht="13.5" thickBot="1" x14ac:dyDescent="0.25">
      <c r="A26" s="184" t="s">
        <v>215</v>
      </c>
      <c r="B26" s="145" t="s">
        <v>255</v>
      </c>
      <c r="C26" s="263">
        <v>5871</v>
      </c>
      <c r="D26" s="251"/>
      <c r="E26" s="255"/>
      <c r="F26" s="502"/>
      <c r="G26" s="125"/>
      <c r="H26" s="501">
        <f t="shared" si="0"/>
        <v>5871</v>
      </c>
      <c r="I26" s="148" t="s">
        <v>214</v>
      </c>
      <c r="J26" s="73"/>
      <c r="K26" s="74"/>
      <c r="L26" s="283" t="s">
        <v>125</v>
      </c>
      <c r="N26" s="227">
        <v>42157</v>
      </c>
      <c r="O26"/>
    </row>
    <row r="27" spans="1:17" s="13" customFormat="1" ht="14.25" customHeight="1" thickTop="1" thickBot="1" x14ac:dyDescent="0.25">
      <c r="A27" s="705"/>
      <c r="B27" s="750"/>
      <c r="C27" s="264">
        <f t="shared" ref="C27:H27" si="1">SUM(C5:C26)</f>
        <v>20702.400000000001</v>
      </c>
      <c r="D27" s="264">
        <f t="shared" si="1"/>
        <v>194966.6</v>
      </c>
      <c r="E27" s="264">
        <f t="shared" si="1"/>
        <v>9405</v>
      </c>
      <c r="F27" s="264">
        <f t="shared" si="1"/>
        <v>0</v>
      </c>
      <c r="G27" s="264">
        <f t="shared" si="1"/>
        <v>0</v>
      </c>
      <c r="H27" s="707">
        <f t="shared" si="1"/>
        <v>225074.00000000003</v>
      </c>
      <c r="I27" s="707"/>
      <c r="J27" s="707"/>
      <c r="K27" s="707"/>
      <c r="L27" s="128">
        <f>SUM(C27:G27)</f>
        <v>225074</v>
      </c>
      <c r="M27" s="128"/>
      <c r="N27" s="162"/>
      <c r="P27" s="317"/>
    </row>
    <row r="28" spans="1:17" s="13" customFormat="1" ht="15" customHeight="1" x14ac:dyDescent="0.2">
      <c r="A28" s="481"/>
      <c r="B28" s="146"/>
      <c r="C28" s="747">
        <f>SUM(C27:D27)</f>
        <v>215669</v>
      </c>
      <c r="D28" s="748"/>
      <c r="E28" s="747">
        <f>SUM(E27:F27)</f>
        <v>9405</v>
      </c>
      <c r="F28" s="748"/>
      <c r="G28" s="127">
        <f>SUM(G27)</f>
        <v>0</v>
      </c>
      <c r="H28" s="706"/>
      <c r="I28" s="706"/>
      <c r="J28" s="706"/>
      <c r="K28" s="706"/>
      <c r="L28" s="128">
        <f>SUM(C5:G26)</f>
        <v>225074.00000000003</v>
      </c>
      <c r="M28" s="128"/>
      <c r="N28" s="162"/>
      <c r="P28" s="317"/>
    </row>
    <row r="29" spans="1:17" s="13" customFormat="1" x14ac:dyDescent="0.2">
      <c r="A29" s="325"/>
      <c r="B29" s="146"/>
      <c r="C29" s="265"/>
      <c r="D29" s="265"/>
      <c r="E29" s="265"/>
      <c r="F29" s="265"/>
      <c r="G29" s="9"/>
      <c r="H29" s="9"/>
      <c r="I29" s="726">
        <f>SUM('APRIL ''15'!C27:G27,'MAY ''15'!C27:G27)</f>
        <v>521795.70000000007</v>
      </c>
      <c r="J29" s="727"/>
      <c r="M29" s="8"/>
      <c r="N29" s="8"/>
      <c r="O29" s="162"/>
      <c r="Q29" s="322"/>
    </row>
    <row r="30" spans="1:17" x14ac:dyDescent="0.2">
      <c r="H30" s="443"/>
      <c r="I30" s="751">
        <f>'APRIL ''15'!D17+'APRIL ''15'!D18+'APRIL ''15'!D19+'APRIL ''15'!D20+'APRIL ''15'!D21+'MAY ''15'!D16+'MAY ''15'!D17</f>
        <v>166680</v>
      </c>
      <c r="J30" s="751"/>
    </row>
    <row r="31" spans="1:17" ht="15" x14ac:dyDescent="0.2">
      <c r="A31" s="124" t="s">
        <v>17</v>
      </c>
      <c r="I31" s="752">
        <f>I29-I30</f>
        <v>355115.70000000007</v>
      </c>
      <c r="J31" s="722"/>
    </row>
    <row r="32" spans="1:17" s="161" customFormat="1" ht="7.5" customHeight="1" x14ac:dyDescent="0.2">
      <c r="A32" s="4"/>
      <c r="B32" s="143"/>
      <c r="C32" s="257"/>
      <c r="D32" s="257"/>
      <c r="E32" s="257"/>
      <c r="F32" s="257"/>
      <c r="G32" s="1"/>
      <c r="H32" s="1"/>
      <c r="I32"/>
      <c r="J32"/>
      <c r="K32"/>
      <c r="L32"/>
      <c r="M32"/>
      <c r="N32"/>
      <c r="P32"/>
    </row>
    <row r="33" spans="1:16" s="161" customFormat="1" ht="17.25" customHeight="1" thickBot="1" x14ac:dyDescent="0.25">
      <c r="A33" s="217"/>
      <c r="B33" s="218" t="s">
        <v>83</v>
      </c>
      <c r="C33" s="266"/>
      <c r="D33" s="257"/>
      <c r="E33" s="257"/>
      <c r="F33" s="257"/>
      <c r="G33" s="1"/>
      <c r="H33" s="1"/>
      <c r="I33"/>
      <c r="J33"/>
      <c r="K33"/>
      <c r="L33"/>
      <c r="M33"/>
      <c r="N33"/>
      <c r="P33"/>
    </row>
    <row r="34" spans="1:16" s="161" customFormat="1" ht="13.5" thickBot="1" x14ac:dyDescent="0.25">
      <c r="A34" s="711"/>
      <c r="B34" s="712"/>
      <c r="C34" s="333" t="s">
        <v>48</v>
      </c>
      <c r="D34" s="268" t="s">
        <v>44</v>
      </c>
      <c r="E34" s="268" t="s">
        <v>74</v>
      </c>
      <c r="F34" s="331" t="s">
        <v>237</v>
      </c>
      <c r="G34" s="331" t="s">
        <v>13</v>
      </c>
      <c r="H34" s="331" t="s">
        <v>72</v>
      </c>
      <c r="I34" s="356" t="s">
        <v>61</v>
      </c>
      <c r="J34" s="192" t="s">
        <v>92</v>
      </c>
      <c r="K34" s="422" t="s">
        <v>9</v>
      </c>
      <c r="M34"/>
    </row>
    <row r="35" spans="1:16" s="161" customFormat="1" x14ac:dyDescent="0.2">
      <c r="A35" s="741" t="s">
        <v>224</v>
      </c>
      <c r="B35" s="742"/>
      <c r="C35" s="334"/>
      <c r="D35" s="271"/>
      <c r="E35" s="271">
        <v>3123.6</v>
      </c>
      <c r="F35" s="271"/>
      <c r="G35" s="271"/>
      <c r="H35" s="271"/>
      <c r="I35" s="271"/>
      <c r="J35" s="326"/>
      <c r="K35" s="174"/>
      <c r="M35"/>
    </row>
    <row r="36" spans="1:16" s="161" customFormat="1" x14ac:dyDescent="0.2">
      <c r="A36" s="724" t="s">
        <v>225</v>
      </c>
      <c r="B36" s="725"/>
      <c r="C36" s="254"/>
      <c r="D36" s="274"/>
      <c r="E36" s="274">
        <v>2280</v>
      </c>
      <c r="F36" s="274"/>
      <c r="G36" s="274"/>
      <c r="H36" s="274"/>
      <c r="I36" s="274"/>
      <c r="J36" s="327"/>
      <c r="K36" s="120"/>
      <c r="M36"/>
    </row>
    <row r="37" spans="1:16" s="161" customFormat="1" x14ac:dyDescent="0.2">
      <c r="A37" s="724" t="s">
        <v>227</v>
      </c>
      <c r="B37" s="725"/>
      <c r="C37" s="254"/>
      <c r="D37" s="274"/>
      <c r="E37" s="274"/>
      <c r="F37" s="274"/>
      <c r="G37" s="274"/>
      <c r="H37" s="274"/>
      <c r="I37" s="274">
        <v>8527.2000000000007</v>
      </c>
      <c r="J37" s="327"/>
      <c r="K37" s="120"/>
      <c r="M37"/>
    </row>
    <row r="38" spans="1:16" s="161" customFormat="1" x14ac:dyDescent="0.2">
      <c r="A38" s="724" t="s">
        <v>228</v>
      </c>
      <c r="B38" s="725"/>
      <c r="C38" s="254"/>
      <c r="D38" s="274"/>
      <c r="E38" s="274"/>
      <c r="F38" s="274"/>
      <c r="G38" s="274"/>
      <c r="H38" s="274"/>
      <c r="I38" s="122"/>
      <c r="J38" s="274">
        <v>4560</v>
      </c>
      <c r="K38" s="170"/>
      <c r="M38"/>
    </row>
    <row r="39" spans="1:16" s="161" customFormat="1" x14ac:dyDescent="0.2">
      <c r="A39" s="724" t="s">
        <v>231</v>
      </c>
      <c r="B39" s="725"/>
      <c r="C39" s="254"/>
      <c r="D39" s="274"/>
      <c r="E39" s="274"/>
      <c r="F39" s="274"/>
      <c r="G39" s="274"/>
      <c r="H39" s="274"/>
      <c r="I39" s="122"/>
      <c r="J39" s="329"/>
      <c r="K39" s="328">
        <v>855</v>
      </c>
      <c r="M39"/>
    </row>
    <row r="40" spans="1:16" s="161" customFormat="1" x14ac:dyDescent="0.2">
      <c r="A40" s="724" t="s">
        <v>232</v>
      </c>
      <c r="B40" s="725"/>
      <c r="C40" s="254"/>
      <c r="D40" s="274">
        <v>4947.6000000000004</v>
      </c>
      <c r="E40" s="274"/>
      <c r="F40" s="274"/>
      <c r="G40" s="274"/>
      <c r="H40" s="274"/>
      <c r="I40" s="122"/>
      <c r="J40" s="168"/>
      <c r="K40" s="251"/>
      <c r="M40"/>
    </row>
    <row r="41" spans="1:16" s="161" customFormat="1" x14ac:dyDescent="0.2">
      <c r="A41" s="724" t="s">
        <v>233</v>
      </c>
      <c r="B41" s="725"/>
      <c r="C41" s="254">
        <v>6372.6</v>
      </c>
      <c r="D41" s="274"/>
      <c r="E41" s="274"/>
      <c r="F41" s="274"/>
      <c r="G41" s="274"/>
      <c r="H41" s="274"/>
      <c r="I41" s="122"/>
      <c r="J41" s="168"/>
      <c r="K41" s="120"/>
      <c r="M41"/>
    </row>
    <row r="42" spans="1:16" s="161" customFormat="1" x14ac:dyDescent="0.2">
      <c r="A42" s="692" t="s">
        <v>234</v>
      </c>
      <c r="B42" s="701"/>
      <c r="C42" s="335"/>
      <c r="D42" s="277"/>
      <c r="E42" s="277">
        <v>3123.6</v>
      </c>
      <c r="F42" s="277"/>
      <c r="G42" s="277"/>
      <c r="H42" s="277"/>
      <c r="I42" s="248"/>
      <c r="J42" s="240"/>
      <c r="K42" s="221"/>
      <c r="M42"/>
    </row>
    <row r="43" spans="1:16" s="161" customFormat="1" x14ac:dyDescent="0.2">
      <c r="A43" s="692" t="s">
        <v>235</v>
      </c>
      <c r="B43" s="701"/>
      <c r="C43" s="335"/>
      <c r="D43" s="277"/>
      <c r="E43" s="277"/>
      <c r="F43" s="277">
        <v>25536</v>
      </c>
      <c r="G43" s="277"/>
      <c r="H43" s="277"/>
      <c r="I43" s="248"/>
      <c r="J43" s="274"/>
      <c r="K43" s="308"/>
      <c r="M43"/>
    </row>
    <row r="44" spans="1:16" s="161" customFormat="1" x14ac:dyDescent="0.2">
      <c r="A44" s="692" t="s">
        <v>238</v>
      </c>
      <c r="B44" s="701"/>
      <c r="C44" s="335"/>
      <c r="D44" s="277">
        <v>399</v>
      </c>
      <c r="E44" s="277"/>
      <c r="F44" s="277"/>
      <c r="G44" s="277"/>
      <c r="H44" s="277"/>
      <c r="I44" s="274"/>
      <c r="J44" s="274"/>
      <c r="K44" s="308"/>
      <c r="M44"/>
    </row>
    <row r="45" spans="1:16" s="161" customFormat="1" x14ac:dyDescent="0.2">
      <c r="A45" s="692" t="s">
        <v>239</v>
      </c>
      <c r="B45" s="701"/>
      <c r="C45" s="335"/>
      <c r="D45" s="277">
        <v>4947.6000000000004</v>
      </c>
      <c r="E45" s="277"/>
      <c r="F45" s="277"/>
      <c r="G45" s="277"/>
      <c r="H45" s="277"/>
      <c r="I45" s="274"/>
      <c r="J45" s="274"/>
      <c r="K45" s="308"/>
      <c r="M45"/>
    </row>
    <row r="46" spans="1:16" s="161" customFormat="1" x14ac:dyDescent="0.2">
      <c r="A46" s="692" t="s">
        <v>240</v>
      </c>
      <c r="B46" s="701"/>
      <c r="C46" s="335"/>
      <c r="D46" s="277"/>
      <c r="E46" s="277"/>
      <c r="F46" s="277"/>
      <c r="G46" s="277"/>
      <c r="H46" s="277">
        <v>22120</v>
      </c>
      <c r="I46" s="248"/>
      <c r="J46" s="274"/>
      <c r="K46" s="221"/>
      <c r="M46"/>
    </row>
    <row r="47" spans="1:16" s="161" customFormat="1" x14ac:dyDescent="0.2">
      <c r="A47" s="692" t="s">
        <v>241</v>
      </c>
      <c r="B47" s="701"/>
      <c r="C47" s="335"/>
      <c r="D47" s="277"/>
      <c r="E47" s="277"/>
      <c r="F47" s="277"/>
      <c r="G47" s="277"/>
      <c r="H47" s="277">
        <v>80860</v>
      </c>
      <c r="I47" s="248"/>
      <c r="J47" s="277"/>
      <c r="K47" s="221"/>
      <c r="M47"/>
    </row>
    <row r="48" spans="1:16" s="161" customFormat="1" x14ac:dyDescent="0.2">
      <c r="A48" s="692" t="s">
        <v>244</v>
      </c>
      <c r="B48" s="693"/>
      <c r="C48" s="335">
        <v>684</v>
      </c>
      <c r="D48" s="277"/>
      <c r="E48" s="277"/>
      <c r="F48" s="277"/>
      <c r="G48" s="277"/>
      <c r="H48" s="277"/>
      <c r="I48" s="248"/>
      <c r="J48" s="277"/>
      <c r="K48" s="221"/>
      <c r="M48"/>
    </row>
    <row r="49" spans="1:17" s="161" customFormat="1" x14ac:dyDescent="0.2">
      <c r="A49" s="692" t="s">
        <v>245</v>
      </c>
      <c r="B49" s="693"/>
      <c r="C49" s="335"/>
      <c r="D49" s="277"/>
      <c r="E49" s="277"/>
      <c r="F49" s="277"/>
      <c r="G49" s="277">
        <v>2348.4</v>
      </c>
      <c r="H49" s="277"/>
      <c r="I49" s="248"/>
      <c r="J49" s="277"/>
      <c r="K49" s="221"/>
      <c r="M49"/>
    </row>
    <row r="50" spans="1:17" s="161" customFormat="1" x14ac:dyDescent="0.2">
      <c r="A50" s="692" t="s">
        <v>247</v>
      </c>
      <c r="B50" s="693"/>
      <c r="C50" s="335"/>
      <c r="D50" s="277">
        <v>23598</v>
      </c>
      <c r="E50" s="277"/>
      <c r="F50" s="277"/>
      <c r="G50" s="277"/>
      <c r="H50" s="277"/>
      <c r="I50" s="248"/>
      <c r="J50" s="277"/>
      <c r="K50" s="221"/>
      <c r="M50"/>
    </row>
    <row r="51" spans="1:17" s="161" customFormat="1" x14ac:dyDescent="0.2">
      <c r="A51" s="692" t="s">
        <v>250</v>
      </c>
      <c r="B51" s="693"/>
      <c r="C51" s="335">
        <v>684</v>
      </c>
      <c r="D51" s="277"/>
      <c r="E51" s="277"/>
      <c r="F51" s="277"/>
      <c r="G51" s="277"/>
      <c r="H51" s="277"/>
      <c r="I51" s="248"/>
      <c r="J51" s="277"/>
      <c r="K51" s="221"/>
      <c r="M51"/>
    </row>
    <row r="52" spans="1:17" ht="13.5" thickBot="1" x14ac:dyDescent="0.25">
      <c r="A52" s="697"/>
      <c r="B52" s="753"/>
      <c r="C52" s="336"/>
      <c r="D52" s="280"/>
      <c r="E52" s="280"/>
      <c r="F52" s="280"/>
      <c r="G52" s="280"/>
      <c r="H52" s="280"/>
      <c r="I52" s="156"/>
      <c r="J52" s="320"/>
      <c r="K52" s="158"/>
      <c r="L52" s="161"/>
      <c r="O52"/>
    </row>
    <row r="53" spans="1:17" ht="13.5" thickBot="1" x14ac:dyDescent="0.25">
      <c r="C53" s="281">
        <f t="shared" ref="C53:K53" si="2">SUM(C35:C52)</f>
        <v>7740.6</v>
      </c>
      <c r="D53" s="282">
        <f t="shared" si="2"/>
        <v>33892.199999999997</v>
      </c>
      <c r="E53" s="282">
        <f t="shared" si="2"/>
        <v>8527.2000000000007</v>
      </c>
      <c r="F53" s="282">
        <f t="shared" si="2"/>
        <v>25536</v>
      </c>
      <c r="G53" s="282">
        <f t="shared" si="2"/>
        <v>2348.4</v>
      </c>
      <c r="H53" s="282">
        <f t="shared" si="2"/>
        <v>102980</v>
      </c>
      <c r="I53" s="187">
        <f t="shared" si="2"/>
        <v>8527.2000000000007</v>
      </c>
      <c r="J53" s="187">
        <f t="shared" si="2"/>
        <v>4560</v>
      </c>
      <c r="K53" s="247">
        <f t="shared" si="2"/>
        <v>855</v>
      </c>
      <c r="L53" s="699">
        <f>SUM(C53:K53)</f>
        <v>194966.6</v>
      </c>
      <c r="M53" s="700"/>
      <c r="O53"/>
    </row>
    <row r="54" spans="1:17" x14ac:dyDescent="0.2">
      <c r="C54" s="524" t="s">
        <v>222</v>
      </c>
      <c r="D54" s="524" t="s">
        <v>222</v>
      </c>
      <c r="E54" s="524" t="s">
        <v>222</v>
      </c>
      <c r="F54" s="524" t="s">
        <v>222</v>
      </c>
      <c r="G54" s="524" t="s">
        <v>222</v>
      </c>
      <c r="H54" s="524" t="s">
        <v>222</v>
      </c>
      <c r="I54" s="524" t="s">
        <v>222</v>
      </c>
      <c r="J54" s="1"/>
      <c r="K54" s="524" t="s">
        <v>222</v>
      </c>
      <c r="L54" s="699"/>
      <c r="M54" s="700"/>
      <c r="O54"/>
      <c r="Q54" s="161"/>
    </row>
    <row r="55" spans="1:17" x14ac:dyDescent="0.2">
      <c r="G55" s="257"/>
      <c r="H55" s="257"/>
      <c r="I55" s="1"/>
      <c r="J55" s="321"/>
      <c r="K55" s="690"/>
      <c r="L55" s="690"/>
      <c r="O55"/>
      <c r="P55" s="161"/>
    </row>
    <row r="56" spans="1:17" x14ac:dyDescent="0.2">
      <c r="I56" s="321"/>
    </row>
  </sheetData>
  <mergeCells count="47">
    <mergeCell ref="A23:A24"/>
    <mergeCell ref="H23:H24"/>
    <mergeCell ref="K55:L55"/>
    <mergeCell ref="A48:B48"/>
    <mergeCell ref="A49:B49"/>
    <mergeCell ref="A39:B39"/>
    <mergeCell ref="A40:B40"/>
    <mergeCell ref="A41:B41"/>
    <mergeCell ref="A42:B42"/>
    <mergeCell ref="L54:M54"/>
    <mergeCell ref="A51:B51"/>
    <mergeCell ref="A52:B52"/>
    <mergeCell ref="L53:M53"/>
    <mergeCell ref="A45:B45"/>
    <mergeCell ref="A46:B46"/>
    <mergeCell ref="A47:B47"/>
    <mergeCell ref="I29:J29"/>
    <mergeCell ref="I30:J30"/>
    <mergeCell ref="A50:B50"/>
    <mergeCell ref="A36:B36"/>
    <mergeCell ref="A37:B37"/>
    <mergeCell ref="A38:B38"/>
    <mergeCell ref="A43:B43"/>
    <mergeCell ref="A44:B44"/>
    <mergeCell ref="I31:J31"/>
    <mergeCell ref="G2:G4"/>
    <mergeCell ref="C3:D3"/>
    <mergeCell ref="E3:F3"/>
    <mergeCell ref="I4:K4"/>
    <mergeCell ref="A35:B35"/>
    <mergeCell ref="A34:B34"/>
    <mergeCell ref="A7:A8"/>
    <mergeCell ref="H7:H8"/>
    <mergeCell ref="A5:A6"/>
    <mergeCell ref="H5:H6"/>
    <mergeCell ref="A27:B27"/>
    <mergeCell ref="H27:K28"/>
    <mergeCell ref="C28:D28"/>
    <mergeCell ref="E28:F28"/>
    <mergeCell ref="A9:A11"/>
    <mergeCell ref="H9:H11"/>
    <mergeCell ref="A12:A15"/>
    <mergeCell ref="H12:H15"/>
    <mergeCell ref="A16:A17"/>
    <mergeCell ref="H16:H17"/>
    <mergeCell ref="A18:A19"/>
    <mergeCell ref="H18:H19"/>
  </mergeCells>
  <printOptions horizontalCentered="1"/>
  <pageMargins left="0.15748031496062992" right="0.15748031496062992" top="0.15748031496062992" bottom="0.35433070866141736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53"/>
  <sheetViews>
    <sheetView zoomScaleNormal="100" workbookViewId="0">
      <selection activeCell="E54" sqref="E54"/>
    </sheetView>
  </sheetViews>
  <sheetFormatPr defaultRowHeight="12.75" x14ac:dyDescent="0.2"/>
  <cols>
    <col min="1" max="1" width="2.7109375" style="180" customWidth="1"/>
    <col min="2" max="2" width="6.5703125" style="147" customWidth="1"/>
    <col min="3" max="4" width="10.7109375" style="1" customWidth="1"/>
    <col min="5" max="5" width="10.42578125" style="1" customWidth="1"/>
    <col min="6" max="6" width="10.28515625" style="1" customWidth="1"/>
    <col min="7" max="7" width="9.7109375" style="1" customWidth="1"/>
    <col min="8" max="10" width="10.7109375" customWidth="1"/>
    <col min="11" max="11" width="10" customWidth="1"/>
    <col min="12" max="13" width="10.7109375" customWidth="1"/>
    <col min="14" max="14" width="10.7109375" style="161" customWidth="1"/>
    <col min="15" max="15" width="10.7109375" customWidth="1"/>
    <col min="16" max="17" width="13.28515625" customWidth="1"/>
    <col min="18" max="18" width="13.7109375" customWidth="1"/>
    <col min="19" max="19" width="13.140625" customWidth="1"/>
  </cols>
  <sheetData>
    <row r="1" spans="1:16" ht="15" x14ac:dyDescent="0.25">
      <c r="A1" s="100" t="s">
        <v>106</v>
      </c>
      <c r="B1" s="143"/>
      <c r="C1" s="3"/>
    </row>
    <row r="2" spans="1:16" ht="9.75" customHeight="1" thickBot="1" x14ac:dyDescent="0.25">
      <c r="A2" s="2"/>
      <c r="B2" s="143"/>
      <c r="C2" s="209"/>
      <c r="D2" s="210"/>
      <c r="E2" s="210"/>
      <c r="F2" s="210"/>
      <c r="G2" s="716" t="s">
        <v>96</v>
      </c>
    </row>
    <row r="3" spans="1:16" ht="17.25" customHeight="1" x14ac:dyDescent="0.2">
      <c r="A3" s="2"/>
      <c r="B3" s="143"/>
      <c r="C3" s="718" t="s">
        <v>83</v>
      </c>
      <c r="D3" s="719"/>
      <c r="E3" s="718" t="s">
        <v>82</v>
      </c>
      <c r="F3" s="719"/>
      <c r="G3" s="716"/>
    </row>
    <row r="4" spans="1:16" ht="13.5" thickBot="1" x14ac:dyDescent="0.25">
      <c r="A4" s="141" t="s">
        <v>6</v>
      </c>
      <c r="B4" s="172" t="s">
        <v>18</v>
      </c>
      <c r="C4" s="113" t="s">
        <v>7</v>
      </c>
      <c r="D4" s="211" t="s">
        <v>8</v>
      </c>
      <c r="E4" s="113" t="s">
        <v>86</v>
      </c>
      <c r="F4" s="114" t="s">
        <v>8</v>
      </c>
      <c r="G4" s="717"/>
      <c r="H4" s="179" t="s">
        <v>0</v>
      </c>
      <c r="I4" s="715" t="s">
        <v>19</v>
      </c>
      <c r="J4" s="715"/>
      <c r="K4" s="715"/>
    </row>
    <row r="5" spans="1:16" x14ac:dyDescent="0.2">
      <c r="A5" s="493" t="s">
        <v>256</v>
      </c>
      <c r="B5" s="358" t="s">
        <v>257</v>
      </c>
      <c r="C5" s="388">
        <v>1174.2</v>
      </c>
      <c r="D5" s="240"/>
      <c r="E5" s="359"/>
      <c r="F5" s="221"/>
      <c r="G5" s="308"/>
      <c r="H5" s="496">
        <f>SUM(C5:G5)</f>
        <v>1174.2</v>
      </c>
      <c r="I5" s="148" t="s">
        <v>249</v>
      </c>
      <c r="J5" s="73"/>
      <c r="K5" s="74"/>
      <c r="L5" s="160" t="s">
        <v>125</v>
      </c>
      <c r="N5" s="231">
        <v>42157</v>
      </c>
    </row>
    <row r="6" spans="1:16" x14ac:dyDescent="0.2">
      <c r="A6" s="184" t="s">
        <v>117</v>
      </c>
      <c r="B6" s="145" t="s">
        <v>258</v>
      </c>
      <c r="C6" s="190">
        <v>6315.6</v>
      </c>
      <c r="D6" s="168"/>
      <c r="E6" s="119"/>
      <c r="F6" s="120"/>
      <c r="G6" s="170"/>
      <c r="H6" s="185">
        <f>SUM(C6:G6)</f>
        <v>6315.6</v>
      </c>
      <c r="I6" s="148" t="s">
        <v>137</v>
      </c>
      <c r="J6" s="73"/>
      <c r="K6" s="74"/>
      <c r="L6" s="160" t="s">
        <v>125</v>
      </c>
      <c r="N6" s="227">
        <v>42159</v>
      </c>
    </row>
    <row r="7" spans="1:16" x14ac:dyDescent="0.2">
      <c r="A7" s="176" t="s">
        <v>123</v>
      </c>
      <c r="B7" s="144" t="s">
        <v>259</v>
      </c>
      <c r="C7" s="213">
        <v>10944</v>
      </c>
      <c r="D7" s="182"/>
      <c r="E7" s="117"/>
      <c r="F7" s="118"/>
      <c r="G7" s="183"/>
      <c r="H7" s="185">
        <f>SUM(C7:G7)</f>
        <v>10944</v>
      </c>
      <c r="I7" s="148" t="s">
        <v>137</v>
      </c>
      <c r="J7" s="73"/>
      <c r="K7" s="74"/>
      <c r="L7" s="160" t="s">
        <v>149</v>
      </c>
      <c r="N7" s="231">
        <v>42164</v>
      </c>
    </row>
    <row r="8" spans="1:16" x14ac:dyDescent="0.2">
      <c r="A8" s="702" t="s">
        <v>187</v>
      </c>
      <c r="B8" s="145" t="s">
        <v>260</v>
      </c>
      <c r="C8" s="190"/>
      <c r="D8" s="168">
        <v>1254</v>
      </c>
      <c r="E8" s="119"/>
      <c r="F8" s="120"/>
      <c r="G8" s="337"/>
      <c r="H8" s="731">
        <f>SUM(C8:G9)</f>
        <v>7182</v>
      </c>
      <c r="I8" s="148" t="s">
        <v>229</v>
      </c>
      <c r="J8" s="73"/>
      <c r="K8" s="74"/>
      <c r="L8" s="283" t="s">
        <v>115</v>
      </c>
      <c r="N8" s="227" t="s">
        <v>116</v>
      </c>
      <c r="O8" s="94"/>
      <c r="P8" s="226"/>
    </row>
    <row r="9" spans="1:16" x14ac:dyDescent="0.2">
      <c r="A9" s="703"/>
      <c r="B9" s="145" t="s">
        <v>261</v>
      </c>
      <c r="C9" s="359"/>
      <c r="D9" s="240">
        <v>5928</v>
      </c>
      <c r="E9" s="359"/>
      <c r="F9" s="221"/>
      <c r="G9" s="308"/>
      <c r="H9" s="733"/>
      <c r="I9" s="148" t="s">
        <v>176</v>
      </c>
      <c r="J9" s="73"/>
      <c r="K9" s="74"/>
      <c r="L9" s="283" t="s">
        <v>115</v>
      </c>
      <c r="N9" s="227" t="s">
        <v>116</v>
      </c>
    </row>
    <row r="10" spans="1:16" x14ac:dyDescent="0.2">
      <c r="A10" s="702" t="s">
        <v>146</v>
      </c>
      <c r="B10" s="145" t="s">
        <v>262</v>
      </c>
      <c r="C10" s="190"/>
      <c r="D10" s="168">
        <v>855</v>
      </c>
      <c r="E10" s="119"/>
      <c r="F10" s="120"/>
      <c r="G10" s="170"/>
      <c r="H10" s="731">
        <f>SUM(C10:G12)</f>
        <v>16815</v>
      </c>
      <c r="I10" s="148" t="s">
        <v>114</v>
      </c>
      <c r="J10" s="73"/>
      <c r="K10" s="74"/>
      <c r="L10" s="283" t="s">
        <v>115</v>
      </c>
      <c r="N10" s="227" t="s">
        <v>116</v>
      </c>
    </row>
    <row r="11" spans="1:16" x14ac:dyDescent="0.2">
      <c r="A11" s="704"/>
      <c r="B11" s="145" t="s">
        <v>263</v>
      </c>
      <c r="C11" s="190">
        <v>12882</v>
      </c>
      <c r="D11" s="168"/>
      <c r="E11" s="119"/>
      <c r="F11" s="120"/>
      <c r="G11" s="170"/>
      <c r="H11" s="732"/>
      <c r="I11" s="148" t="s">
        <v>204</v>
      </c>
      <c r="J11" s="73"/>
      <c r="K11" s="74"/>
      <c r="L11" s="283" t="s">
        <v>149</v>
      </c>
      <c r="N11" s="227">
        <v>42165</v>
      </c>
    </row>
    <row r="12" spans="1:16" x14ac:dyDescent="0.2">
      <c r="A12" s="703"/>
      <c r="B12" s="145" t="s">
        <v>264</v>
      </c>
      <c r="C12" s="119"/>
      <c r="D12" s="168">
        <v>3078</v>
      </c>
      <c r="E12" s="119"/>
      <c r="F12" s="120"/>
      <c r="G12" s="170"/>
      <c r="H12" s="733"/>
      <c r="I12" s="148" t="s">
        <v>120</v>
      </c>
      <c r="J12" s="73"/>
      <c r="K12" s="74"/>
      <c r="L12" s="283" t="s">
        <v>115</v>
      </c>
      <c r="N12" s="231" t="s">
        <v>116</v>
      </c>
    </row>
    <row r="13" spans="1:16" x14ac:dyDescent="0.2">
      <c r="A13" s="702" t="s">
        <v>152</v>
      </c>
      <c r="B13" s="389" t="s">
        <v>265</v>
      </c>
      <c r="C13" s="391"/>
      <c r="D13" s="205">
        <v>15280</v>
      </c>
      <c r="E13" s="390"/>
      <c r="F13" s="216"/>
      <c r="G13" s="417"/>
      <c r="H13" s="731">
        <f>SUM(C13:G18)</f>
        <v>84994.8</v>
      </c>
      <c r="I13" s="148" t="s">
        <v>130</v>
      </c>
      <c r="J13" s="73"/>
      <c r="K13" s="74"/>
      <c r="L13" s="283" t="s">
        <v>115</v>
      </c>
      <c r="N13" s="231" t="s">
        <v>116</v>
      </c>
    </row>
    <row r="14" spans="1:16" x14ac:dyDescent="0.2">
      <c r="A14" s="704"/>
      <c r="B14" s="288" t="s">
        <v>266</v>
      </c>
      <c r="C14" s="190"/>
      <c r="D14" s="168">
        <v>58520</v>
      </c>
      <c r="E14" s="190"/>
      <c r="F14" s="120"/>
      <c r="G14" s="170"/>
      <c r="H14" s="732"/>
      <c r="I14" s="148" t="s">
        <v>130</v>
      </c>
      <c r="J14" s="73"/>
      <c r="K14" s="74"/>
      <c r="L14" s="283" t="s">
        <v>115</v>
      </c>
      <c r="N14" s="231" t="s">
        <v>116</v>
      </c>
    </row>
    <row r="15" spans="1:16" x14ac:dyDescent="0.2">
      <c r="A15" s="704"/>
      <c r="B15" s="389" t="s">
        <v>267</v>
      </c>
      <c r="C15" s="388"/>
      <c r="D15" s="240">
        <v>2872.8</v>
      </c>
      <c r="E15" s="359"/>
      <c r="F15" s="221"/>
      <c r="G15" s="308"/>
      <c r="H15" s="732"/>
      <c r="I15" s="148" t="s">
        <v>229</v>
      </c>
      <c r="J15" s="73"/>
      <c r="K15" s="74"/>
      <c r="L15" s="283" t="s">
        <v>115</v>
      </c>
      <c r="N15" s="231" t="s">
        <v>116</v>
      </c>
    </row>
    <row r="16" spans="1:16" x14ac:dyDescent="0.2">
      <c r="A16" s="704"/>
      <c r="B16" s="288" t="s">
        <v>268</v>
      </c>
      <c r="C16" s="359"/>
      <c r="D16" s="240">
        <v>2337</v>
      </c>
      <c r="E16" s="359"/>
      <c r="F16" s="221"/>
      <c r="G16" s="308"/>
      <c r="H16" s="732"/>
      <c r="I16" s="148" t="s">
        <v>229</v>
      </c>
      <c r="J16" s="73"/>
      <c r="K16" s="74"/>
      <c r="L16" s="283" t="s">
        <v>115</v>
      </c>
      <c r="N16" s="231" t="s">
        <v>116</v>
      </c>
      <c r="P16" s="226"/>
    </row>
    <row r="17" spans="1:14" x14ac:dyDescent="0.2">
      <c r="A17" s="704"/>
      <c r="B17" s="144" t="s">
        <v>269</v>
      </c>
      <c r="C17" s="190"/>
      <c r="D17" s="168">
        <v>2964</v>
      </c>
      <c r="E17" s="190"/>
      <c r="F17" s="120"/>
      <c r="G17" s="170"/>
      <c r="H17" s="732"/>
      <c r="I17" s="148" t="s">
        <v>229</v>
      </c>
      <c r="J17" s="73"/>
      <c r="K17" s="74"/>
      <c r="L17" s="283" t="s">
        <v>115</v>
      </c>
      <c r="N17" s="231" t="s">
        <v>116</v>
      </c>
    </row>
    <row r="18" spans="1:14" x14ac:dyDescent="0.2">
      <c r="A18" s="703"/>
      <c r="B18" s="144" t="s">
        <v>270</v>
      </c>
      <c r="C18" s="213"/>
      <c r="D18" s="182">
        <v>3021</v>
      </c>
      <c r="E18" s="117"/>
      <c r="F18" s="118"/>
      <c r="G18" s="183"/>
      <c r="H18" s="733"/>
      <c r="I18" s="148" t="s">
        <v>229</v>
      </c>
      <c r="J18" s="73"/>
      <c r="K18" s="74"/>
      <c r="L18" s="283" t="s">
        <v>115</v>
      </c>
      <c r="N18" s="231" t="s">
        <v>116</v>
      </c>
    </row>
    <row r="19" spans="1:14" x14ac:dyDescent="0.2">
      <c r="A19" s="702" t="s">
        <v>167</v>
      </c>
      <c r="B19" s="389" t="s">
        <v>271</v>
      </c>
      <c r="C19" s="390"/>
      <c r="D19" s="205">
        <v>7045.2</v>
      </c>
      <c r="E19" s="390"/>
      <c r="F19" s="216"/>
      <c r="G19" s="417"/>
      <c r="H19" s="731">
        <f>SUM(C19:G20)</f>
        <v>24316.2</v>
      </c>
      <c r="I19" s="148" t="s">
        <v>273</v>
      </c>
      <c r="J19" s="73"/>
      <c r="K19" s="74"/>
      <c r="L19" s="283" t="s">
        <v>115</v>
      </c>
      <c r="N19" s="231" t="s">
        <v>116</v>
      </c>
    </row>
    <row r="20" spans="1:14" x14ac:dyDescent="0.2">
      <c r="A20" s="703"/>
      <c r="B20" s="145" t="s">
        <v>272</v>
      </c>
      <c r="C20" s="190"/>
      <c r="D20" s="168">
        <v>17271</v>
      </c>
      <c r="E20" s="119"/>
      <c r="F20" s="120"/>
      <c r="G20" s="170"/>
      <c r="H20" s="733"/>
      <c r="I20" s="148" t="s">
        <v>159</v>
      </c>
      <c r="J20" s="73"/>
      <c r="K20" s="74"/>
      <c r="L20" s="283" t="s">
        <v>115</v>
      </c>
      <c r="N20" s="231" t="s">
        <v>116</v>
      </c>
    </row>
    <row r="21" spans="1:14" x14ac:dyDescent="0.2">
      <c r="A21" s="702" t="s">
        <v>170</v>
      </c>
      <c r="B21" s="144" t="s">
        <v>274</v>
      </c>
      <c r="C21" s="117"/>
      <c r="D21" s="182">
        <v>14010.6</v>
      </c>
      <c r="E21" s="213"/>
      <c r="F21" s="118"/>
      <c r="G21" s="183"/>
      <c r="H21" s="731">
        <f>SUM(C21:G22)</f>
        <v>20964.599999999999</v>
      </c>
      <c r="I21" s="148" t="s">
        <v>275</v>
      </c>
      <c r="J21" s="73"/>
      <c r="K21" s="74"/>
      <c r="L21" s="283" t="s">
        <v>115</v>
      </c>
      <c r="N21" s="231" t="s">
        <v>116</v>
      </c>
    </row>
    <row r="22" spans="1:14" x14ac:dyDescent="0.2">
      <c r="A22" s="703"/>
      <c r="B22" s="144" t="s">
        <v>276</v>
      </c>
      <c r="C22" s="117"/>
      <c r="D22" s="182">
        <v>6954</v>
      </c>
      <c r="E22" s="117"/>
      <c r="F22" s="118"/>
      <c r="G22" s="183"/>
      <c r="H22" s="733"/>
      <c r="I22" s="148" t="s">
        <v>277</v>
      </c>
      <c r="J22" s="73"/>
      <c r="K22" s="74"/>
      <c r="L22" s="283" t="s">
        <v>115</v>
      </c>
      <c r="N22" s="231" t="s">
        <v>116</v>
      </c>
    </row>
    <row r="23" spans="1:14" x14ac:dyDescent="0.2">
      <c r="A23" s="299" t="s">
        <v>181</v>
      </c>
      <c r="B23" s="358" t="s">
        <v>278</v>
      </c>
      <c r="C23" s="388"/>
      <c r="D23" s="240">
        <v>4423.2</v>
      </c>
      <c r="E23" s="359"/>
      <c r="F23" s="221"/>
      <c r="G23" s="308"/>
      <c r="H23" s="298">
        <f>SUM(C23:G23)</f>
        <v>4423.2</v>
      </c>
      <c r="I23" s="148" t="s">
        <v>279</v>
      </c>
      <c r="J23" s="73"/>
      <c r="K23" s="74"/>
      <c r="L23" s="283" t="s">
        <v>115</v>
      </c>
      <c r="N23" s="231" t="s">
        <v>116</v>
      </c>
    </row>
    <row r="24" spans="1:14" x14ac:dyDescent="0.2">
      <c r="A24" s="702" t="s">
        <v>182</v>
      </c>
      <c r="B24" s="358" t="s">
        <v>280</v>
      </c>
      <c r="C24" s="388">
        <v>2348.4</v>
      </c>
      <c r="D24" s="240"/>
      <c r="E24" s="359"/>
      <c r="F24" s="221"/>
      <c r="G24" s="308"/>
      <c r="H24" s="731">
        <f>SUM(C24:G25)</f>
        <v>3853.2</v>
      </c>
      <c r="I24" s="148" t="s">
        <v>281</v>
      </c>
      <c r="J24" s="73"/>
      <c r="K24" s="74"/>
      <c r="L24" s="283" t="s">
        <v>149</v>
      </c>
      <c r="N24" s="227">
        <v>42213</v>
      </c>
    </row>
    <row r="25" spans="1:14" ht="13.5" thickBot="1" x14ac:dyDescent="0.25">
      <c r="A25" s="703"/>
      <c r="B25" s="145" t="s">
        <v>283</v>
      </c>
      <c r="C25" s="191"/>
      <c r="D25" s="168">
        <v>1504.8</v>
      </c>
      <c r="E25" s="119"/>
      <c r="F25" s="120"/>
      <c r="G25" s="170"/>
      <c r="H25" s="733"/>
      <c r="I25" s="148" t="s">
        <v>40</v>
      </c>
      <c r="J25" s="73"/>
      <c r="K25" s="74"/>
      <c r="L25" s="283" t="s">
        <v>115</v>
      </c>
      <c r="N25" s="231" t="s">
        <v>116</v>
      </c>
    </row>
    <row r="26" spans="1:14" s="13" customFormat="1" ht="14.25" thickTop="1" thickBot="1" x14ac:dyDescent="0.25">
      <c r="A26" s="705"/>
      <c r="B26" s="705"/>
      <c r="C26" s="115">
        <f>SUM(C5:C25)</f>
        <v>33664.199999999997</v>
      </c>
      <c r="D26" s="169">
        <f>SUM(D5:D25)</f>
        <v>147318.6</v>
      </c>
      <c r="E26" s="115">
        <f>SUM(E5:E25)</f>
        <v>0</v>
      </c>
      <c r="F26" s="116">
        <f>SUM(F5:F25)</f>
        <v>0</v>
      </c>
      <c r="G26" s="171">
        <f>SUM(G5:G25)</f>
        <v>0</v>
      </c>
      <c r="H26" s="707">
        <f>SUM(H5:H24)</f>
        <v>180982.80000000005</v>
      </c>
      <c r="I26" s="707"/>
      <c r="J26" s="707"/>
      <c r="K26" s="707"/>
      <c r="L26" s="128"/>
      <c r="M26" s="128"/>
      <c r="N26" s="162"/>
    </row>
    <row r="27" spans="1:14" s="13" customFormat="1" ht="15" customHeight="1" x14ac:dyDescent="0.2">
      <c r="A27" s="99"/>
      <c r="B27" s="146"/>
      <c r="C27" s="755">
        <f>SUM(C26:D26)</f>
        <v>180982.8</v>
      </c>
      <c r="D27" s="756"/>
      <c r="E27" s="709">
        <f>SUM(E26:F26)</f>
        <v>0</v>
      </c>
      <c r="F27" s="710"/>
      <c r="G27" s="127">
        <f>SUM(G26)</f>
        <v>0</v>
      </c>
      <c r="H27" s="706"/>
      <c r="I27" s="706"/>
      <c r="J27" s="706"/>
      <c r="K27" s="706"/>
      <c r="L27" s="128"/>
      <c r="M27" s="128"/>
      <c r="N27" s="162"/>
    </row>
    <row r="28" spans="1:14" s="13" customFormat="1" x14ac:dyDescent="0.2">
      <c r="A28" s="99"/>
      <c r="B28" s="146"/>
      <c r="C28" s="9"/>
      <c r="D28" s="9"/>
      <c r="E28" s="9"/>
      <c r="F28" s="9"/>
      <c r="G28" s="9"/>
      <c r="H28" s="14"/>
      <c r="L28" s="8"/>
      <c r="M28" s="8"/>
      <c r="N28" s="162"/>
    </row>
    <row r="30" spans="1:14" ht="15" x14ac:dyDescent="0.2">
      <c r="A30" s="124" t="s">
        <v>17</v>
      </c>
    </row>
    <row r="31" spans="1:14" ht="7.5" customHeight="1" x14ac:dyDescent="0.2">
      <c r="A31" s="4"/>
    </row>
    <row r="32" spans="1:14" ht="21.75" customHeight="1" thickBot="1" x14ac:dyDescent="0.25">
      <c r="A32" s="121"/>
      <c r="B32" s="149" t="s">
        <v>83</v>
      </c>
    </row>
    <row r="33" spans="1:14" ht="13.5" thickBot="1" x14ac:dyDescent="0.25">
      <c r="A33"/>
      <c r="B33"/>
      <c r="C33" s="339" t="s">
        <v>15</v>
      </c>
      <c r="D33" s="186" t="s">
        <v>48</v>
      </c>
      <c r="E33" s="338" t="s">
        <v>44</v>
      </c>
      <c r="F33" s="338" t="s">
        <v>42</v>
      </c>
      <c r="G33" s="92" t="s">
        <v>72</v>
      </c>
      <c r="H33" s="92" t="s">
        <v>94</v>
      </c>
      <c r="I33" s="92" t="s">
        <v>12</v>
      </c>
      <c r="J33" s="92" t="s">
        <v>49</v>
      </c>
      <c r="K33" s="246" t="s">
        <v>61</v>
      </c>
      <c r="L33" s="543" t="s">
        <v>9</v>
      </c>
      <c r="M33" s="157" t="s">
        <v>47</v>
      </c>
    </row>
    <row r="34" spans="1:14" x14ac:dyDescent="0.2">
      <c r="A34"/>
      <c r="B34" s="534" t="s">
        <v>260</v>
      </c>
      <c r="C34" s="131"/>
      <c r="D34" s="166"/>
      <c r="E34" s="166"/>
      <c r="F34" s="166"/>
      <c r="G34" s="173"/>
      <c r="H34" s="173"/>
      <c r="I34" s="173"/>
      <c r="J34" s="173"/>
      <c r="K34" s="444">
        <v>1254</v>
      </c>
      <c r="L34" s="544"/>
      <c r="M34" s="474"/>
    </row>
    <row r="35" spans="1:14" x14ac:dyDescent="0.2">
      <c r="A35"/>
      <c r="B35" s="535" t="s">
        <v>261</v>
      </c>
      <c r="C35" s="133"/>
      <c r="D35" s="137">
        <v>5928</v>
      </c>
      <c r="E35" s="137"/>
      <c r="F35" s="137"/>
      <c r="G35" s="168"/>
      <c r="H35" s="168"/>
      <c r="I35" s="168"/>
      <c r="J35" s="168"/>
      <c r="K35" s="135"/>
      <c r="L35" s="545"/>
      <c r="M35" s="136"/>
    </row>
    <row r="36" spans="1:14" x14ac:dyDescent="0.2">
      <c r="A36"/>
      <c r="B36" s="535" t="s">
        <v>262</v>
      </c>
      <c r="C36" s="133"/>
      <c r="D36" s="137"/>
      <c r="E36" s="137"/>
      <c r="F36" s="137"/>
      <c r="G36" s="168"/>
      <c r="H36" s="168"/>
      <c r="I36" s="168"/>
      <c r="J36" s="168"/>
      <c r="K36" s="135"/>
      <c r="L36" s="545">
        <v>855</v>
      </c>
      <c r="M36" s="136"/>
    </row>
    <row r="37" spans="1:14" x14ac:dyDescent="0.2">
      <c r="A37"/>
      <c r="B37" s="535" t="s">
        <v>264</v>
      </c>
      <c r="C37" s="133"/>
      <c r="D37" s="137"/>
      <c r="E37" s="137"/>
      <c r="F37" s="137">
        <v>3078</v>
      </c>
      <c r="G37" s="168"/>
      <c r="H37" s="168"/>
      <c r="I37" s="168"/>
      <c r="J37" s="168"/>
      <c r="K37" s="135"/>
      <c r="L37" s="545"/>
      <c r="M37" s="136"/>
    </row>
    <row r="38" spans="1:14" x14ac:dyDescent="0.2">
      <c r="A38"/>
      <c r="B38" s="536" t="s">
        <v>265</v>
      </c>
      <c r="C38" s="133"/>
      <c r="D38" s="137"/>
      <c r="E38" s="137"/>
      <c r="F38" s="137"/>
      <c r="G38" s="205">
        <v>15280</v>
      </c>
      <c r="H38" s="205"/>
      <c r="I38" s="205"/>
      <c r="J38" s="205"/>
      <c r="K38" s="135"/>
      <c r="L38" s="545"/>
      <c r="M38" s="136"/>
    </row>
    <row r="39" spans="1:14" x14ac:dyDescent="0.2">
      <c r="A39"/>
      <c r="B39" s="537" t="s">
        <v>266</v>
      </c>
      <c r="C39" s="133"/>
      <c r="D39" s="350"/>
      <c r="E39" s="350"/>
      <c r="F39" s="350"/>
      <c r="G39" s="168">
        <v>58520</v>
      </c>
      <c r="H39" s="168"/>
      <c r="I39" s="168"/>
      <c r="J39" s="168"/>
      <c r="K39" s="135"/>
      <c r="L39" s="545"/>
      <c r="M39" s="136"/>
      <c r="N39" s="532"/>
    </row>
    <row r="40" spans="1:14" x14ac:dyDescent="0.2">
      <c r="A40"/>
      <c r="B40" s="536" t="s">
        <v>267</v>
      </c>
      <c r="C40" s="133"/>
      <c r="D40" s="350"/>
      <c r="E40" s="350"/>
      <c r="F40" s="350"/>
      <c r="G40" s="168"/>
      <c r="H40" s="240"/>
      <c r="I40" s="240"/>
      <c r="J40" s="240"/>
      <c r="K40" s="248">
        <v>2872.8</v>
      </c>
      <c r="L40" s="545"/>
      <c r="M40" s="136"/>
      <c r="N40" s="532"/>
    </row>
    <row r="41" spans="1:14" x14ac:dyDescent="0.2">
      <c r="A41"/>
      <c r="B41" s="537" t="s">
        <v>268</v>
      </c>
      <c r="C41" s="133"/>
      <c r="D41" s="350"/>
      <c r="E41" s="350"/>
      <c r="F41" s="350"/>
      <c r="G41" s="168"/>
      <c r="H41" s="240"/>
      <c r="I41" s="240"/>
      <c r="J41" s="240"/>
      <c r="K41" s="248">
        <v>2337</v>
      </c>
      <c r="L41" s="545"/>
      <c r="M41" s="136"/>
      <c r="N41" s="532"/>
    </row>
    <row r="42" spans="1:14" x14ac:dyDescent="0.2">
      <c r="A42"/>
      <c r="B42" s="538" t="s">
        <v>269</v>
      </c>
      <c r="C42" s="133"/>
      <c r="D42" s="350"/>
      <c r="E42" s="350"/>
      <c r="F42" s="350"/>
      <c r="G42" s="168"/>
      <c r="H42" s="168"/>
      <c r="I42" s="168"/>
      <c r="J42" s="168"/>
      <c r="K42" s="122">
        <v>2964</v>
      </c>
      <c r="L42" s="545"/>
      <c r="M42" s="136"/>
      <c r="N42" s="532"/>
    </row>
    <row r="43" spans="1:14" x14ac:dyDescent="0.2">
      <c r="A43"/>
      <c r="B43" s="538" t="s">
        <v>270</v>
      </c>
      <c r="C43" s="133"/>
      <c r="D43" s="350"/>
      <c r="E43" s="350"/>
      <c r="F43" s="350"/>
      <c r="G43" s="168"/>
      <c r="H43" s="182"/>
      <c r="I43" s="182"/>
      <c r="J43" s="182"/>
      <c r="K43" s="431">
        <v>3021</v>
      </c>
      <c r="L43" s="545"/>
      <c r="M43" s="136"/>
      <c r="N43" s="532"/>
    </row>
    <row r="44" spans="1:14" x14ac:dyDescent="0.2">
      <c r="A44"/>
      <c r="B44" s="538" t="s">
        <v>271</v>
      </c>
      <c r="C44" s="133">
        <v>7045.2</v>
      </c>
      <c r="D44" s="350"/>
      <c r="E44" s="350"/>
      <c r="F44" s="350"/>
      <c r="G44" s="168"/>
      <c r="H44" s="182"/>
      <c r="I44" s="182"/>
      <c r="J44" s="182"/>
      <c r="K44" s="431"/>
      <c r="L44" s="545"/>
      <c r="M44" s="136"/>
      <c r="N44" s="533"/>
    </row>
    <row r="45" spans="1:14" x14ac:dyDescent="0.2">
      <c r="A45"/>
      <c r="B45" s="538" t="s">
        <v>272</v>
      </c>
      <c r="C45" s="133"/>
      <c r="D45" s="350"/>
      <c r="E45" s="350">
        <v>17271</v>
      </c>
      <c r="F45" s="350"/>
      <c r="G45" s="168"/>
      <c r="H45" s="182"/>
      <c r="I45" s="182"/>
      <c r="J45" s="182"/>
      <c r="K45" s="431"/>
      <c r="L45" s="545"/>
      <c r="M45" s="136"/>
      <c r="N45" s="533"/>
    </row>
    <row r="46" spans="1:14" x14ac:dyDescent="0.2">
      <c r="A46"/>
      <c r="B46" s="535" t="s">
        <v>274</v>
      </c>
      <c r="C46" s="133"/>
      <c r="D46" s="168"/>
      <c r="E46" s="168"/>
      <c r="F46" s="168"/>
      <c r="G46" s="122"/>
      <c r="H46" s="122"/>
      <c r="I46" s="122">
        <v>14010.6</v>
      </c>
      <c r="J46" s="122"/>
      <c r="K46" s="135"/>
      <c r="L46" s="545"/>
      <c r="M46" s="136"/>
    </row>
    <row r="47" spans="1:14" x14ac:dyDescent="0.2">
      <c r="A47"/>
      <c r="B47" s="541" t="s">
        <v>276</v>
      </c>
      <c r="C47" s="380"/>
      <c r="D47" s="240"/>
      <c r="E47" s="240"/>
      <c r="F47" s="240"/>
      <c r="G47" s="248"/>
      <c r="H47" s="248">
        <v>6954</v>
      </c>
      <c r="I47" s="248"/>
      <c r="J47" s="248"/>
      <c r="K47" s="449"/>
      <c r="L47" s="453"/>
      <c r="M47" s="206"/>
      <c r="N47" s="540"/>
    </row>
    <row r="48" spans="1:14" x14ac:dyDescent="0.2">
      <c r="A48"/>
      <c r="B48" s="541" t="s">
        <v>278</v>
      </c>
      <c r="C48" s="380"/>
      <c r="D48" s="240"/>
      <c r="E48" s="240"/>
      <c r="F48" s="240"/>
      <c r="G48" s="248"/>
      <c r="H48" s="248"/>
      <c r="I48" s="248"/>
      <c r="J48" s="248">
        <v>4423.2</v>
      </c>
      <c r="K48" s="449"/>
      <c r="L48" s="453"/>
      <c r="M48" s="206"/>
      <c r="N48" s="540"/>
    </row>
    <row r="49" spans="1:15" ht="13.5" thickBot="1" x14ac:dyDescent="0.25">
      <c r="A49"/>
      <c r="B49" s="539" t="s">
        <v>283</v>
      </c>
      <c r="C49" s="154"/>
      <c r="D49" s="167"/>
      <c r="E49" s="167"/>
      <c r="F49" s="167"/>
      <c r="G49" s="156"/>
      <c r="H49" s="156"/>
      <c r="I49" s="156"/>
      <c r="J49" s="156"/>
      <c r="K49" s="156"/>
      <c r="L49" s="546"/>
      <c r="M49" s="158">
        <v>1504.8</v>
      </c>
    </row>
    <row r="50" spans="1:15" ht="13.5" thickBot="1" x14ac:dyDescent="0.25">
      <c r="B50" s="332"/>
      <c r="C50" s="138">
        <f t="shared" ref="C50:M50" si="0">SUM(C34:C49)</f>
        <v>7045.2</v>
      </c>
      <c r="D50" s="139">
        <f t="shared" si="0"/>
        <v>5928</v>
      </c>
      <c r="E50" s="139">
        <f t="shared" si="0"/>
        <v>17271</v>
      </c>
      <c r="F50" s="139">
        <f t="shared" si="0"/>
        <v>3078</v>
      </c>
      <c r="G50" s="139">
        <f t="shared" si="0"/>
        <v>73800</v>
      </c>
      <c r="H50" s="139">
        <f t="shared" si="0"/>
        <v>6954</v>
      </c>
      <c r="I50" s="139">
        <f t="shared" si="0"/>
        <v>14010.6</v>
      </c>
      <c r="J50" s="139">
        <f t="shared" si="0"/>
        <v>4423.2</v>
      </c>
      <c r="K50" s="187">
        <f t="shared" si="0"/>
        <v>12448.8</v>
      </c>
      <c r="L50" s="547">
        <f t="shared" si="0"/>
        <v>855</v>
      </c>
      <c r="M50" s="247">
        <f t="shared" si="0"/>
        <v>1504.8</v>
      </c>
      <c r="N50" s="699">
        <f>SUM(C50:M50)</f>
        <v>147318.59999999998</v>
      </c>
      <c r="O50" s="700"/>
    </row>
    <row r="51" spans="1:15" x14ac:dyDescent="0.2">
      <c r="C51" s="524" t="s">
        <v>222</v>
      </c>
      <c r="D51" s="524" t="s">
        <v>222</v>
      </c>
      <c r="E51" s="524" t="s">
        <v>222</v>
      </c>
      <c r="G51" s="524" t="s">
        <v>222</v>
      </c>
      <c r="H51" s="524" t="s">
        <v>222</v>
      </c>
      <c r="J51" s="524" t="s">
        <v>222</v>
      </c>
      <c r="K51" s="524" t="s">
        <v>222</v>
      </c>
      <c r="L51" s="524" t="s">
        <v>222</v>
      </c>
    </row>
    <row r="52" spans="1:15" x14ac:dyDescent="0.2">
      <c r="N52" s="754">
        <f>D50+G50+(K50-(K50*0.025))</f>
        <v>91865.58</v>
      </c>
      <c r="O52" s="754"/>
    </row>
    <row r="53" spans="1:15" x14ac:dyDescent="0.2">
      <c r="N53" s="690"/>
      <c r="O53" s="691"/>
    </row>
  </sheetData>
  <mergeCells count="23">
    <mergeCell ref="I4:K4"/>
    <mergeCell ref="H26:K27"/>
    <mergeCell ref="C27:D27"/>
    <mergeCell ref="E27:F27"/>
    <mergeCell ref="G2:G4"/>
    <mergeCell ref="E3:F3"/>
    <mergeCell ref="C3:D3"/>
    <mergeCell ref="H21:H22"/>
    <mergeCell ref="H24:H25"/>
    <mergeCell ref="H19:H20"/>
    <mergeCell ref="N52:O52"/>
    <mergeCell ref="N53:O53"/>
    <mergeCell ref="A8:A9"/>
    <mergeCell ref="H8:H9"/>
    <mergeCell ref="A10:A12"/>
    <mergeCell ref="H10:H12"/>
    <mergeCell ref="A13:A18"/>
    <mergeCell ref="H13:H18"/>
    <mergeCell ref="A19:A20"/>
    <mergeCell ref="A26:B26"/>
    <mergeCell ref="N50:O50"/>
    <mergeCell ref="A21:A22"/>
    <mergeCell ref="A24:A25"/>
  </mergeCells>
  <printOptions horizontalCentered="1"/>
  <pageMargins left="0.15748031496062992" right="0.15748031496062992" top="0.35433070866141736" bottom="0.55118110236220474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R72"/>
  <sheetViews>
    <sheetView zoomScaleNormal="100" workbookViewId="0">
      <pane ySplit="4" topLeftCell="A5" activePane="bottomLeft" state="frozenSplit"/>
      <selection pane="bottomLeft" activeCell="I25" sqref="I25"/>
    </sheetView>
  </sheetViews>
  <sheetFormatPr defaultRowHeight="12.75" x14ac:dyDescent="0.2"/>
  <cols>
    <col min="1" max="1" width="2.42578125" style="189" customWidth="1"/>
    <col min="2" max="2" width="6.42578125" style="143" customWidth="1"/>
    <col min="3" max="5" width="10.7109375" style="1" customWidth="1"/>
    <col min="6" max="6" width="9.42578125" style="1" customWidth="1"/>
    <col min="7" max="7" width="10" style="1" customWidth="1"/>
    <col min="8" max="13" width="10.7109375" customWidth="1"/>
    <col min="14" max="14" width="10.7109375" style="161" customWidth="1"/>
    <col min="15" max="15" width="14.7109375" style="94" customWidth="1"/>
    <col min="16" max="16" width="13.7109375" customWidth="1"/>
    <col min="17" max="17" width="13.28515625" customWidth="1"/>
    <col min="18" max="18" width="13.7109375" customWidth="1"/>
    <col min="19" max="19" width="13.140625" customWidth="1"/>
  </cols>
  <sheetData>
    <row r="1" spans="1:16" ht="15" x14ac:dyDescent="0.25">
      <c r="A1" s="100" t="s">
        <v>105</v>
      </c>
      <c r="C1" s="3"/>
    </row>
    <row r="2" spans="1:16" ht="9.75" customHeight="1" thickBot="1" x14ac:dyDescent="0.25">
      <c r="A2" s="2"/>
      <c r="C2" s="209"/>
      <c r="D2" s="210"/>
      <c r="E2" s="210"/>
      <c r="F2" s="210"/>
      <c r="G2" s="716" t="s">
        <v>337</v>
      </c>
    </row>
    <row r="3" spans="1:16" ht="17.25" customHeight="1" x14ac:dyDescent="0.2">
      <c r="A3" s="2"/>
      <c r="C3" s="718" t="s">
        <v>83</v>
      </c>
      <c r="D3" s="719"/>
      <c r="E3" s="718" t="s">
        <v>82</v>
      </c>
      <c r="F3" s="719"/>
      <c r="G3" s="716"/>
    </row>
    <row r="4" spans="1:16" ht="13.5" thickBot="1" x14ac:dyDescent="0.25">
      <c r="A4" s="141" t="s">
        <v>6</v>
      </c>
      <c r="B4" s="172" t="s">
        <v>18</v>
      </c>
      <c r="C4" s="113" t="s">
        <v>7</v>
      </c>
      <c r="D4" s="211" t="s">
        <v>8</v>
      </c>
      <c r="E4" s="113" t="s">
        <v>86</v>
      </c>
      <c r="F4" s="114" t="s">
        <v>8</v>
      </c>
      <c r="G4" s="717"/>
      <c r="H4" s="188" t="s">
        <v>0</v>
      </c>
      <c r="I4" s="715" t="s">
        <v>19</v>
      </c>
      <c r="J4" s="715"/>
      <c r="K4" s="715"/>
    </row>
    <row r="5" spans="1:16" x14ac:dyDescent="0.2">
      <c r="A5" s="480" t="s">
        <v>223</v>
      </c>
      <c r="B5" s="358" t="s">
        <v>284</v>
      </c>
      <c r="C5" s="413"/>
      <c r="D5" s="414">
        <v>5437.8</v>
      </c>
      <c r="E5" s="413"/>
      <c r="F5" s="415"/>
      <c r="G5" s="416"/>
      <c r="H5" s="445">
        <f>SUM(C5:G5)</f>
        <v>5437.8</v>
      </c>
      <c r="I5" s="148" t="s">
        <v>275</v>
      </c>
      <c r="J5" s="73"/>
      <c r="K5" s="74"/>
      <c r="L5" s="160" t="s">
        <v>115</v>
      </c>
      <c r="N5" s="177" t="s">
        <v>116</v>
      </c>
    </row>
    <row r="6" spans="1:16" x14ac:dyDescent="0.2">
      <c r="A6" s="142" t="s">
        <v>127</v>
      </c>
      <c r="B6" s="145" t="s">
        <v>285</v>
      </c>
      <c r="C6" s="190"/>
      <c r="D6" s="168">
        <v>3420</v>
      </c>
      <c r="E6" s="190"/>
      <c r="F6" s="120"/>
      <c r="G6" s="170"/>
      <c r="H6" s="548">
        <f>SUM(C6:G6)</f>
        <v>3420</v>
      </c>
      <c r="I6" s="148" t="s">
        <v>121</v>
      </c>
      <c r="J6" s="73"/>
      <c r="K6" s="74"/>
      <c r="L6" s="160" t="s">
        <v>115</v>
      </c>
      <c r="N6" s="177" t="s">
        <v>116</v>
      </c>
      <c r="O6" s="343"/>
    </row>
    <row r="7" spans="1:16" x14ac:dyDescent="0.2">
      <c r="A7" s="702" t="s">
        <v>139</v>
      </c>
      <c r="B7" s="389" t="s">
        <v>286</v>
      </c>
      <c r="C7" s="391"/>
      <c r="D7" s="205">
        <v>11240.4</v>
      </c>
      <c r="E7" s="390"/>
      <c r="F7" s="216"/>
      <c r="G7" s="417"/>
      <c r="H7" s="731">
        <f>SUM(C7:G8)</f>
        <v>16940.400000000001</v>
      </c>
      <c r="I7" s="148" t="s">
        <v>273</v>
      </c>
      <c r="J7" s="73"/>
      <c r="K7" s="74"/>
      <c r="L7" s="160" t="s">
        <v>115</v>
      </c>
      <c r="N7" s="177" t="s">
        <v>116</v>
      </c>
    </row>
    <row r="8" spans="1:16" x14ac:dyDescent="0.2">
      <c r="A8" s="703"/>
      <c r="B8" s="288" t="s">
        <v>287</v>
      </c>
      <c r="C8" s="119"/>
      <c r="D8" s="168">
        <v>5700</v>
      </c>
      <c r="E8" s="190"/>
      <c r="F8" s="120"/>
      <c r="G8" s="170"/>
      <c r="H8" s="733"/>
      <c r="I8" s="148" t="s">
        <v>114</v>
      </c>
      <c r="J8" s="73"/>
      <c r="K8" s="74"/>
      <c r="L8" s="160" t="s">
        <v>115</v>
      </c>
      <c r="N8" s="177" t="s">
        <v>116</v>
      </c>
    </row>
    <row r="9" spans="1:16" x14ac:dyDescent="0.2">
      <c r="A9" s="702" t="s">
        <v>192</v>
      </c>
      <c r="B9" s="393" t="s">
        <v>288</v>
      </c>
      <c r="C9" s="391">
        <v>1368</v>
      </c>
      <c r="D9" s="205"/>
      <c r="E9" s="391"/>
      <c r="F9" s="216"/>
      <c r="G9" s="417"/>
      <c r="H9" s="731">
        <f>SUM(C9:G13)</f>
        <v>99214.3</v>
      </c>
      <c r="I9" s="148" t="s">
        <v>292</v>
      </c>
      <c r="J9" s="73"/>
      <c r="K9" s="74"/>
      <c r="L9" s="283" t="s">
        <v>125</v>
      </c>
      <c r="N9" s="227">
        <v>42200</v>
      </c>
    </row>
    <row r="10" spans="1:16" x14ac:dyDescent="0.2">
      <c r="A10" s="704"/>
      <c r="B10" s="288" t="s">
        <v>289</v>
      </c>
      <c r="C10" s="190"/>
      <c r="D10" s="168">
        <v>5437.8</v>
      </c>
      <c r="E10" s="190"/>
      <c r="F10" s="120"/>
      <c r="G10" s="170"/>
      <c r="H10" s="732"/>
      <c r="I10" s="148" t="s">
        <v>275</v>
      </c>
      <c r="J10" s="73"/>
      <c r="K10" s="74"/>
      <c r="L10" s="283" t="s">
        <v>115</v>
      </c>
      <c r="N10" s="227" t="s">
        <v>116</v>
      </c>
    </row>
    <row r="11" spans="1:16" x14ac:dyDescent="0.2">
      <c r="A11" s="704"/>
      <c r="B11" s="389" t="s">
        <v>290</v>
      </c>
      <c r="C11" s="390"/>
      <c r="D11" s="205">
        <v>14961</v>
      </c>
      <c r="E11" s="391"/>
      <c r="F11" s="216"/>
      <c r="G11" s="417"/>
      <c r="H11" s="732"/>
      <c r="I11" s="148" t="s">
        <v>130</v>
      </c>
      <c r="J11" s="73"/>
      <c r="K11" s="74"/>
      <c r="L11" s="160" t="s">
        <v>115</v>
      </c>
      <c r="N11" s="227" t="s">
        <v>116</v>
      </c>
    </row>
    <row r="12" spans="1:16" x14ac:dyDescent="0.2">
      <c r="A12" s="704"/>
      <c r="B12" s="358" t="s">
        <v>291</v>
      </c>
      <c r="C12" s="359"/>
      <c r="D12" s="240">
        <v>70607.5</v>
      </c>
      <c r="E12" s="387"/>
      <c r="F12" s="221"/>
      <c r="G12" s="308"/>
      <c r="H12" s="732"/>
      <c r="I12" s="148" t="s">
        <v>130</v>
      </c>
      <c r="J12" s="73"/>
      <c r="K12" s="74"/>
      <c r="L12" s="160" t="s">
        <v>115</v>
      </c>
      <c r="N12" s="227" t="s">
        <v>116</v>
      </c>
    </row>
    <row r="13" spans="1:16" x14ac:dyDescent="0.2">
      <c r="A13" s="703"/>
      <c r="B13" s="145" t="s">
        <v>293</v>
      </c>
      <c r="C13" s="190"/>
      <c r="D13" s="168">
        <v>6840</v>
      </c>
      <c r="E13" s="191"/>
      <c r="F13" s="120"/>
      <c r="G13" s="170"/>
      <c r="H13" s="733"/>
      <c r="I13" s="148" t="s">
        <v>275</v>
      </c>
      <c r="J13" s="73"/>
      <c r="K13" s="74"/>
      <c r="L13" s="160" t="s">
        <v>115</v>
      </c>
      <c r="N13" s="227" t="s">
        <v>116</v>
      </c>
    </row>
    <row r="14" spans="1:16" x14ac:dyDescent="0.2">
      <c r="A14" s="704" t="s">
        <v>294</v>
      </c>
      <c r="B14" s="145" t="s">
        <v>299</v>
      </c>
      <c r="C14" s="119"/>
      <c r="D14" s="168"/>
      <c r="E14" s="190">
        <v>10944</v>
      </c>
      <c r="F14" s="120"/>
      <c r="G14" s="170"/>
      <c r="H14" s="732">
        <f>SUM(C14:G24)</f>
        <v>71136</v>
      </c>
      <c r="I14" s="148" t="s">
        <v>318</v>
      </c>
      <c r="J14" s="73"/>
      <c r="K14" s="74"/>
      <c r="L14" s="283" t="s">
        <v>125</v>
      </c>
      <c r="N14" s="227">
        <v>42293</v>
      </c>
      <c r="P14" s="94" t="s">
        <v>501</v>
      </c>
    </row>
    <row r="15" spans="1:16" x14ac:dyDescent="0.2">
      <c r="A15" s="704"/>
      <c r="B15" s="145" t="s">
        <v>300</v>
      </c>
      <c r="C15" s="213"/>
      <c r="D15" s="182"/>
      <c r="E15" s="213">
        <v>6156</v>
      </c>
      <c r="F15" s="118"/>
      <c r="G15" s="183"/>
      <c r="H15" s="732"/>
      <c r="I15" s="148" t="s">
        <v>317</v>
      </c>
      <c r="J15" s="73"/>
      <c r="K15" s="74"/>
      <c r="L15" s="283" t="s">
        <v>125</v>
      </c>
      <c r="N15" s="227">
        <v>42332</v>
      </c>
      <c r="P15" s="94" t="s">
        <v>519</v>
      </c>
    </row>
    <row r="16" spans="1:16" x14ac:dyDescent="0.2">
      <c r="A16" s="704"/>
      <c r="B16" s="145" t="s">
        <v>301</v>
      </c>
      <c r="C16" s="117"/>
      <c r="D16" s="182"/>
      <c r="E16" s="213">
        <v>12312</v>
      </c>
      <c r="F16" s="118"/>
      <c r="G16" s="183"/>
      <c r="H16" s="732"/>
      <c r="I16" s="148" t="s">
        <v>316</v>
      </c>
      <c r="J16" s="73"/>
      <c r="K16" s="74"/>
      <c r="L16" s="283" t="s">
        <v>149</v>
      </c>
      <c r="N16" s="227">
        <v>42305</v>
      </c>
      <c r="P16" s="94" t="s">
        <v>520</v>
      </c>
    </row>
    <row r="17" spans="1:16" x14ac:dyDescent="0.2">
      <c r="A17" s="704"/>
      <c r="B17" s="145" t="s">
        <v>302</v>
      </c>
      <c r="C17" s="391"/>
      <c r="D17" s="205"/>
      <c r="E17" s="391">
        <v>2736</v>
      </c>
      <c r="F17" s="216"/>
      <c r="G17" s="417"/>
      <c r="H17" s="732"/>
      <c r="I17" s="148" t="s">
        <v>495</v>
      </c>
      <c r="J17" s="73"/>
      <c r="K17" s="74"/>
      <c r="L17" s="283" t="s">
        <v>149</v>
      </c>
      <c r="N17" s="227">
        <v>42286</v>
      </c>
      <c r="P17" s="94" t="s">
        <v>496</v>
      </c>
    </row>
    <row r="18" spans="1:16" x14ac:dyDescent="0.2">
      <c r="A18" s="704"/>
      <c r="B18" s="145" t="s">
        <v>303</v>
      </c>
      <c r="C18" s="190"/>
      <c r="D18" s="168"/>
      <c r="E18" s="190">
        <v>14364</v>
      </c>
      <c r="F18" s="120"/>
      <c r="G18" s="170"/>
      <c r="H18" s="732"/>
      <c r="I18" s="148" t="s">
        <v>315</v>
      </c>
      <c r="J18" s="73"/>
      <c r="K18" s="74"/>
      <c r="L18" s="283" t="s">
        <v>125</v>
      </c>
      <c r="N18" s="227">
        <v>42209</v>
      </c>
    </row>
    <row r="19" spans="1:16" x14ac:dyDescent="0.2">
      <c r="A19" s="704"/>
      <c r="B19" s="145" t="s">
        <v>304</v>
      </c>
      <c r="C19" s="213"/>
      <c r="D19" s="182"/>
      <c r="E19" s="213">
        <v>2052</v>
      </c>
      <c r="F19" s="118"/>
      <c r="G19" s="183"/>
      <c r="H19" s="732"/>
      <c r="I19" s="148" t="s">
        <v>314</v>
      </c>
      <c r="J19" s="73"/>
      <c r="K19" s="74"/>
      <c r="L19" s="283" t="s">
        <v>149</v>
      </c>
      <c r="N19" s="227">
        <v>42214</v>
      </c>
    </row>
    <row r="20" spans="1:16" x14ac:dyDescent="0.2">
      <c r="A20" s="704"/>
      <c r="B20" s="145" t="s">
        <v>305</v>
      </c>
      <c r="C20" s="213"/>
      <c r="D20" s="182"/>
      <c r="E20" s="213">
        <v>5472</v>
      </c>
      <c r="F20" s="118"/>
      <c r="G20" s="183"/>
      <c r="H20" s="732"/>
      <c r="I20" s="148" t="s">
        <v>313</v>
      </c>
      <c r="J20" s="73"/>
      <c r="K20" s="74"/>
      <c r="L20" s="283" t="s">
        <v>149</v>
      </c>
      <c r="N20" s="227">
        <v>42203</v>
      </c>
    </row>
    <row r="21" spans="1:16" x14ac:dyDescent="0.2">
      <c r="A21" s="704"/>
      <c r="B21" s="144" t="s">
        <v>306</v>
      </c>
      <c r="C21" s="213"/>
      <c r="D21" s="182"/>
      <c r="E21" s="213">
        <v>5472</v>
      </c>
      <c r="F21" s="118"/>
      <c r="G21" s="183"/>
      <c r="H21" s="732"/>
      <c r="I21" s="148" t="s">
        <v>312</v>
      </c>
      <c r="J21" s="73"/>
      <c r="K21" s="74"/>
      <c r="L21" s="283" t="s">
        <v>125</v>
      </c>
      <c r="N21" s="227">
        <v>42290</v>
      </c>
      <c r="P21" s="94" t="s">
        <v>502</v>
      </c>
    </row>
    <row r="22" spans="1:16" x14ac:dyDescent="0.2">
      <c r="A22" s="704"/>
      <c r="B22" s="144" t="s">
        <v>308</v>
      </c>
      <c r="C22" s="213"/>
      <c r="D22" s="182"/>
      <c r="E22" s="213">
        <v>6156</v>
      </c>
      <c r="F22" s="118"/>
      <c r="G22" s="183"/>
      <c r="H22" s="732"/>
      <c r="I22" s="148" t="s">
        <v>311</v>
      </c>
      <c r="J22" s="73"/>
      <c r="K22" s="74"/>
      <c r="L22" s="283" t="s">
        <v>125</v>
      </c>
      <c r="N22" s="227">
        <v>42208</v>
      </c>
    </row>
    <row r="23" spans="1:16" x14ac:dyDescent="0.2">
      <c r="A23" s="704"/>
      <c r="B23" s="144" t="s">
        <v>309</v>
      </c>
      <c r="C23" s="213"/>
      <c r="D23" s="182"/>
      <c r="E23" s="213">
        <v>2736</v>
      </c>
      <c r="F23" s="118"/>
      <c r="G23" s="183"/>
      <c r="H23" s="732"/>
      <c r="I23" s="148" t="s">
        <v>310</v>
      </c>
      <c r="J23" s="73"/>
      <c r="K23" s="74"/>
      <c r="L23" s="283" t="s">
        <v>125</v>
      </c>
      <c r="N23" s="227">
        <v>42201</v>
      </c>
    </row>
    <row r="24" spans="1:16" x14ac:dyDescent="0.2">
      <c r="A24" s="703"/>
      <c r="B24" s="144" t="s">
        <v>307</v>
      </c>
      <c r="C24" s="213"/>
      <c r="D24" s="182"/>
      <c r="E24" s="213">
        <v>2736</v>
      </c>
      <c r="F24" s="118"/>
      <c r="G24" s="183"/>
      <c r="H24" s="733"/>
      <c r="I24" s="148" t="s">
        <v>396</v>
      </c>
      <c r="J24" s="73"/>
      <c r="K24" s="74"/>
      <c r="L24" s="283" t="s">
        <v>149</v>
      </c>
      <c r="N24" s="227">
        <v>42240</v>
      </c>
    </row>
    <row r="25" spans="1:16" x14ac:dyDescent="0.2">
      <c r="A25" s="702" t="s">
        <v>195</v>
      </c>
      <c r="B25" s="144" t="s">
        <v>319</v>
      </c>
      <c r="C25" s="213">
        <v>4560</v>
      </c>
      <c r="D25" s="182"/>
      <c r="E25" s="117"/>
      <c r="F25" s="118"/>
      <c r="G25" s="183"/>
      <c r="H25" s="731">
        <f>SUM(C25:G26)</f>
        <v>7843.2</v>
      </c>
      <c r="I25" s="148" t="s">
        <v>148</v>
      </c>
      <c r="J25" s="73"/>
      <c r="K25" s="74"/>
      <c r="L25" s="283" t="s">
        <v>149</v>
      </c>
      <c r="N25" s="227">
        <v>42247</v>
      </c>
    </row>
    <row r="26" spans="1:16" x14ac:dyDescent="0.2">
      <c r="A26" s="704"/>
      <c r="B26" s="144" t="s">
        <v>320</v>
      </c>
      <c r="C26" s="213"/>
      <c r="D26" s="182">
        <v>3283.2</v>
      </c>
      <c r="E26" s="117"/>
      <c r="F26" s="118"/>
      <c r="G26" s="183"/>
      <c r="H26" s="732"/>
      <c r="I26" s="148" t="s">
        <v>159</v>
      </c>
      <c r="J26" s="73"/>
      <c r="K26" s="74"/>
      <c r="L26" s="283" t="s">
        <v>115</v>
      </c>
      <c r="N26" s="227" t="s">
        <v>116</v>
      </c>
    </row>
    <row r="27" spans="1:16" x14ac:dyDescent="0.2">
      <c r="A27" s="702" t="s">
        <v>152</v>
      </c>
      <c r="B27" s="144" t="s">
        <v>321</v>
      </c>
      <c r="C27" s="213"/>
      <c r="D27" s="182">
        <v>6121.8</v>
      </c>
      <c r="E27" s="117"/>
      <c r="F27" s="118"/>
      <c r="G27" s="183"/>
      <c r="H27" s="731">
        <f>SUM(C27:G28)</f>
        <v>12961.8</v>
      </c>
      <c r="I27" s="148" t="s">
        <v>159</v>
      </c>
      <c r="J27" s="73"/>
      <c r="K27" s="74"/>
      <c r="L27" s="283" t="s">
        <v>115</v>
      </c>
      <c r="N27" s="227" t="s">
        <v>116</v>
      </c>
    </row>
    <row r="28" spans="1:16" x14ac:dyDescent="0.2">
      <c r="A28" s="703"/>
      <c r="B28" s="144" t="s">
        <v>322</v>
      </c>
      <c r="C28" s="213"/>
      <c r="D28" s="182">
        <v>6840</v>
      </c>
      <c r="E28" s="117"/>
      <c r="F28" s="118"/>
      <c r="G28" s="183"/>
      <c r="H28" s="733"/>
      <c r="I28" s="148" t="s">
        <v>323</v>
      </c>
      <c r="J28" s="73"/>
      <c r="K28" s="74"/>
      <c r="L28" s="283" t="s">
        <v>115</v>
      </c>
      <c r="N28" s="227" t="s">
        <v>116</v>
      </c>
    </row>
    <row r="29" spans="1:16" x14ac:dyDescent="0.2">
      <c r="A29" s="176" t="s">
        <v>206</v>
      </c>
      <c r="B29" s="144" t="s">
        <v>324</v>
      </c>
      <c r="C29" s="213"/>
      <c r="D29" s="182">
        <v>5871</v>
      </c>
      <c r="E29" s="117"/>
      <c r="F29" s="118"/>
      <c r="G29" s="183"/>
      <c r="H29" s="181">
        <f>SUM(C29:G29)</f>
        <v>5871</v>
      </c>
      <c r="I29" s="148" t="s">
        <v>325</v>
      </c>
      <c r="J29" s="73"/>
      <c r="K29" s="74"/>
      <c r="L29" s="283" t="s">
        <v>115</v>
      </c>
      <c r="N29" s="227" t="s">
        <v>116</v>
      </c>
    </row>
    <row r="30" spans="1:16" x14ac:dyDescent="0.2">
      <c r="A30" s="702" t="s">
        <v>164</v>
      </c>
      <c r="B30" s="144" t="s">
        <v>326</v>
      </c>
      <c r="C30" s="213"/>
      <c r="D30" s="182">
        <v>3648</v>
      </c>
      <c r="E30" s="117"/>
      <c r="F30" s="118"/>
      <c r="G30" s="183"/>
      <c r="H30" s="731">
        <f>SUM(C30:G33)</f>
        <v>59747.4</v>
      </c>
      <c r="I30" s="148" t="s">
        <v>273</v>
      </c>
      <c r="J30" s="73"/>
      <c r="K30" s="74"/>
      <c r="L30" s="283" t="s">
        <v>115</v>
      </c>
      <c r="N30" s="227" t="s">
        <v>116</v>
      </c>
    </row>
    <row r="31" spans="1:16" x14ac:dyDescent="0.2">
      <c r="A31" s="704"/>
      <c r="B31" s="144" t="s">
        <v>327</v>
      </c>
      <c r="C31" s="213"/>
      <c r="D31" s="182">
        <v>12426</v>
      </c>
      <c r="E31" s="117"/>
      <c r="F31" s="118"/>
      <c r="G31" s="183"/>
      <c r="H31" s="732"/>
      <c r="I31" s="148" t="s">
        <v>159</v>
      </c>
      <c r="J31" s="73"/>
      <c r="K31" s="74"/>
      <c r="L31" s="283" t="s">
        <v>115</v>
      </c>
      <c r="N31" s="227" t="s">
        <v>116</v>
      </c>
    </row>
    <row r="32" spans="1:16" x14ac:dyDescent="0.2">
      <c r="A32" s="704"/>
      <c r="B32" s="144" t="s">
        <v>328</v>
      </c>
      <c r="C32" s="213"/>
      <c r="D32" s="182">
        <v>17271</v>
      </c>
      <c r="E32" s="117"/>
      <c r="F32" s="118"/>
      <c r="G32" s="183"/>
      <c r="H32" s="732"/>
      <c r="I32" s="148" t="s">
        <v>159</v>
      </c>
      <c r="J32" s="73"/>
      <c r="K32" s="74"/>
      <c r="L32" s="283" t="s">
        <v>115</v>
      </c>
      <c r="N32" s="227" t="s">
        <v>116</v>
      </c>
    </row>
    <row r="33" spans="1:15" x14ac:dyDescent="0.2">
      <c r="A33" s="703"/>
      <c r="B33" s="144" t="s">
        <v>329</v>
      </c>
      <c r="C33" s="213">
        <v>26402.400000000001</v>
      </c>
      <c r="D33" s="182"/>
      <c r="E33" s="117"/>
      <c r="F33" s="118"/>
      <c r="G33" s="183"/>
      <c r="H33" s="733"/>
      <c r="I33" s="148" t="s">
        <v>148</v>
      </c>
      <c r="J33" s="553"/>
      <c r="K33" s="554"/>
      <c r="L33" s="283" t="s">
        <v>149</v>
      </c>
      <c r="N33" s="227">
        <v>42247</v>
      </c>
      <c r="O33" s="343">
        <f>C25+C33</f>
        <v>30962.400000000001</v>
      </c>
    </row>
    <row r="34" spans="1:15" x14ac:dyDescent="0.2">
      <c r="A34" s="702" t="s">
        <v>215</v>
      </c>
      <c r="B34" s="144" t="s">
        <v>330</v>
      </c>
      <c r="C34" s="213"/>
      <c r="D34" s="182">
        <v>798</v>
      </c>
      <c r="E34" s="117"/>
      <c r="F34" s="118"/>
      <c r="G34" s="183"/>
      <c r="H34" s="731">
        <f>SUM(C34:G39)</f>
        <v>56886</v>
      </c>
      <c r="I34" s="148" t="s">
        <v>229</v>
      </c>
      <c r="J34" s="73"/>
      <c r="K34" s="74"/>
      <c r="L34" s="283" t="s">
        <v>115</v>
      </c>
      <c r="N34" s="227" t="s">
        <v>116</v>
      </c>
    </row>
    <row r="35" spans="1:15" x14ac:dyDescent="0.2">
      <c r="A35" s="704"/>
      <c r="B35" s="144" t="s">
        <v>331</v>
      </c>
      <c r="C35" s="213"/>
      <c r="D35" s="182">
        <v>3420</v>
      </c>
      <c r="E35" s="117"/>
      <c r="F35" s="118"/>
      <c r="G35" s="183"/>
      <c r="H35" s="732"/>
      <c r="I35" s="148" t="s">
        <v>176</v>
      </c>
      <c r="J35" s="73"/>
      <c r="K35" s="74"/>
      <c r="L35" s="283" t="s">
        <v>115</v>
      </c>
      <c r="N35" s="227" t="s">
        <v>116</v>
      </c>
    </row>
    <row r="36" spans="1:15" x14ac:dyDescent="0.2">
      <c r="A36" s="704"/>
      <c r="B36" s="144" t="s">
        <v>333</v>
      </c>
      <c r="C36" s="213"/>
      <c r="D36" s="182">
        <v>10203</v>
      </c>
      <c r="E36" s="117"/>
      <c r="F36" s="118"/>
      <c r="G36" s="183"/>
      <c r="H36" s="732"/>
      <c r="I36" s="148" t="s">
        <v>176</v>
      </c>
      <c r="J36" s="73"/>
      <c r="K36" s="74"/>
      <c r="L36" s="283" t="s">
        <v>115</v>
      </c>
      <c r="N36" s="227" t="s">
        <v>116</v>
      </c>
    </row>
    <row r="37" spans="1:15" x14ac:dyDescent="0.2">
      <c r="A37" s="704"/>
      <c r="B37" s="144" t="s">
        <v>334</v>
      </c>
      <c r="C37" s="213"/>
      <c r="D37" s="182"/>
      <c r="E37" s="213">
        <v>28215</v>
      </c>
      <c r="F37" s="118"/>
      <c r="G37" s="183"/>
      <c r="H37" s="732"/>
      <c r="I37" s="148" t="s">
        <v>179</v>
      </c>
      <c r="J37" s="73"/>
      <c r="K37" s="74"/>
      <c r="L37" s="283" t="s">
        <v>125</v>
      </c>
      <c r="N37" s="227">
        <v>42216</v>
      </c>
    </row>
    <row r="38" spans="1:15" x14ac:dyDescent="0.2">
      <c r="A38" s="704"/>
      <c r="B38" s="144" t="s">
        <v>335</v>
      </c>
      <c r="C38" s="340"/>
      <c r="D38" s="182"/>
      <c r="E38" s="117"/>
      <c r="F38" s="118"/>
      <c r="G38" s="562">
        <v>9120</v>
      </c>
      <c r="H38" s="732"/>
      <c r="I38" s="148" t="s">
        <v>336</v>
      </c>
      <c r="J38" s="73"/>
      <c r="K38" s="74"/>
      <c r="L38" s="283" t="s">
        <v>125</v>
      </c>
      <c r="N38" s="227">
        <v>42230</v>
      </c>
    </row>
    <row r="39" spans="1:15" x14ac:dyDescent="0.2">
      <c r="A39" s="703"/>
      <c r="B39" s="144" t="s">
        <v>338</v>
      </c>
      <c r="C39" s="213"/>
      <c r="D39" s="182">
        <v>5130</v>
      </c>
      <c r="E39" s="117"/>
      <c r="F39" s="118"/>
      <c r="G39" s="183"/>
      <c r="H39" s="733"/>
      <c r="I39" s="148" t="s">
        <v>114</v>
      </c>
      <c r="J39" s="73"/>
      <c r="K39" s="74"/>
      <c r="L39" s="283" t="s">
        <v>115</v>
      </c>
      <c r="N39" s="227" t="s">
        <v>116</v>
      </c>
    </row>
    <row r="40" spans="1:15" x14ac:dyDescent="0.2">
      <c r="A40" s="176" t="s">
        <v>339</v>
      </c>
      <c r="B40" s="144" t="s">
        <v>340</v>
      </c>
      <c r="C40" s="117">
        <v>0</v>
      </c>
      <c r="D40" s="182"/>
      <c r="E40" s="117"/>
      <c r="F40" s="118"/>
      <c r="G40" s="183"/>
      <c r="H40" s="181">
        <f>SUM(C40:G40)</f>
        <v>0</v>
      </c>
      <c r="I40" s="148" t="s">
        <v>342</v>
      </c>
      <c r="J40" s="73"/>
      <c r="K40" s="74"/>
      <c r="L40" s="283" t="s">
        <v>341</v>
      </c>
      <c r="N40" s="227" t="s">
        <v>116</v>
      </c>
    </row>
    <row r="41" spans="1:15" x14ac:dyDescent="0.2">
      <c r="A41" s="702" t="s">
        <v>345</v>
      </c>
      <c r="B41" s="144" t="s">
        <v>343</v>
      </c>
      <c r="C41" s="213">
        <v>8436</v>
      </c>
      <c r="D41" s="182"/>
      <c r="E41" s="117"/>
      <c r="F41" s="118"/>
      <c r="G41" s="183"/>
      <c r="H41" s="731">
        <f>SUM(C41:G42)</f>
        <v>13224</v>
      </c>
      <c r="I41" s="148" t="s">
        <v>342</v>
      </c>
      <c r="J41" s="73"/>
      <c r="K41" s="74"/>
      <c r="L41" s="283" t="s">
        <v>347</v>
      </c>
      <c r="N41" s="227">
        <v>42220</v>
      </c>
    </row>
    <row r="42" spans="1:15" ht="13.5" thickBot="1" x14ac:dyDescent="0.25">
      <c r="A42" s="704"/>
      <c r="B42" s="144" t="s">
        <v>344</v>
      </c>
      <c r="C42" s="213"/>
      <c r="D42" s="182">
        <v>4788</v>
      </c>
      <c r="E42" s="117"/>
      <c r="F42" s="118"/>
      <c r="G42" s="183"/>
      <c r="H42" s="732"/>
      <c r="I42" s="148" t="s">
        <v>114</v>
      </c>
      <c r="J42" s="73"/>
      <c r="K42" s="74"/>
      <c r="L42" s="283" t="s">
        <v>115</v>
      </c>
      <c r="N42" s="227" t="s">
        <v>116</v>
      </c>
    </row>
    <row r="43" spans="1:15" s="13" customFormat="1" ht="14.25" thickTop="1" thickBot="1" x14ac:dyDescent="0.25">
      <c r="A43" s="705"/>
      <c r="B43" s="705"/>
      <c r="C43" s="342">
        <f t="shared" ref="C43:H43" si="0">SUM(C5:C42)</f>
        <v>40766.400000000001</v>
      </c>
      <c r="D43" s="169">
        <f t="shared" si="0"/>
        <v>203444.5</v>
      </c>
      <c r="E43" s="342">
        <f t="shared" si="0"/>
        <v>99351</v>
      </c>
      <c r="F43" s="116">
        <f t="shared" si="0"/>
        <v>0</v>
      </c>
      <c r="G43" s="171">
        <f t="shared" si="0"/>
        <v>9120</v>
      </c>
      <c r="H43" s="707">
        <f t="shared" si="0"/>
        <v>352681.9</v>
      </c>
      <c r="I43" s="707"/>
      <c r="J43" s="707"/>
      <c r="K43" s="707"/>
      <c r="L43" s="128">
        <f>SUM(C43:G43)</f>
        <v>352681.9</v>
      </c>
      <c r="M43" s="128"/>
      <c r="N43" s="424"/>
      <c r="O43" s="94"/>
    </row>
    <row r="44" spans="1:15" s="13" customFormat="1" ht="15" customHeight="1" x14ac:dyDescent="0.2">
      <c r="A44" s="99"/>
      <c r="B44" s="146"/>
      <c r="C44" s="755">
        <f>SUM(C43:D43)</f>
        <v>244210.9</v>
      </c>
      <c r="D44" s="756"/>
      <c r="E44" s="709">
        <f>SUM(E43:F43)</f>
        <v>99351</v>
      </c>
      <c r="F44" s="710"/>
      <c r="G44" s="127">
        <f>SUM(G43)</f>
        <v>9120</v>
      </c>
      <c r="H44" s="706"/>
      <c r="I44" s="706"/>
      <c r="J44" s="706"/>
      <c r="K44" s="706"/>
      <c r="L44" s="128">
        <f>SUM(C44:G44)</f>
        <v>352681.9</v>
      </c>
      <c r="M44" s="128"/>
      <c r="N44" s="162"/>
      <c r="O44" s="94"/>
    </row>
    <row r="45" spans="1:15" x14ac:dyDescent="0.2">
      <c r="H45" s="752"/>
      <c r="I45" s="722"/>
    </row>
    <row r="46" spans="1:15" ht="15" x14ac:dyDescent="0.2">
      <c r="A46" s="124" t="s">
        <v>17</v>
      </c>
    </row>
    <row r="47" spans="1:15" s="161" customFormat="1" ht="7.5" customHeight="1" x14ac:dyDescent="0.2">
      <c r="A47" s="4"/>
      <c r="B47" s="143"/>
      <c r="C47" s="1"/>
      <c r="D47" s="1"/>
      <c r="E47" s="1"/>
      <c r="F47" s="1"/>
      <c r="G47" s="1"/>
      <c r="H47"/>
      <c r="I47"/>
      <c r="J47"/>
      <c r="K47"/>
      <c r="L47"/>
      <c r="M47"/>
      <c r="O47" s="94"/>
    </row>
    <row r="48" spans="1:15" s="161" customFormat="1" ht="17.25" customHeight="1" thickBot="1" x14ac:dyDescent="0.25">
      <c r="A48" s="198"/>
      <c r="B48" s="197" t="s">
        <v>83</v>
      </c>
      <c r="C48" s="196"/>
      <c r="D48" s="1"/>
      <c r="E48" s="1"/>
      <c r="F48" s="1"/>
      <c r="G48" s="1"/>
      <c r="H48"/>
      <c r="I48"/>
      <c r="J48"/>
      <c r="K48"/>
      <c r="L48"/>
      <c r="M48"/>
      <c r="O48" s="94"/>
    </row>
    <row r="49" spans="1:18" s="161" customFormat="1" ht="13.5" thickBot="1" x14ac:dyDescent="0.25">
      <c r="A49" s="757"/>
      <c r="B49" s="757"/>
      <c r="C49" s="339" t="s">
        <v>15</v>
      </c>
      <c r="D49" s="246" t="s">
        <v>48</v>
      </c>
      <c r="E49" s="92" t="s">
        <v>44</v>
      </c>
      <c r="F49" s="92" t="s">
        <v>13</v>
      </c>
      <c r="G49" s="92" t="s">
        <v>14</v>
      </c>
      <c r="H49" s="92" t="s">
        <v>72</v>
      </c>
      <c r="I49" s="92" t="s">
        <v>12</v>
      </c>
      <c r="J49" s="92" t="s">
        <v>61</v>
      </c>
      <c r="K49" s="246" t="s">
        <v>9</v>
      </c>
      <c r="L49" s="422" t="s">
        <v>47</v>
      </c>
      <c r="M49" s="163"/>
      <c r="O49"/>
      <c r="R49" s="345"/>
    </row>
    <row r="50" spans="1:18" s="161" customFormat="1" x14ac:dyDescent="0.2">
      <c r="A50" s="713" t="s">
        <v>284</v>
      </c>
      <c r="B50" s="714"/>
      <c r="C50" s="346"/>
      <c r="D50" s="123"/>
      <c r="E50" s="173"/>
      <c r="F50" s="173"/>
      <c r="G50" s="173"/>
      <c r="H50" s="173"/>
      <c r="I50" s="173">
        <v>5437.8</v>
      </c>
      <c r="J50" s="173"/>
      <c r="K50" s="444"/>
      <c r="L50" s="378"/>
      <c r="M50" s="164"/>
      <c r="O50"/>
      <c r="R50" s="345"/>
    </row>
    <row r="51" spans="1:18" s="161" customFormat="1" x14ac:dyDescent="0.2">
      <c r="A51" s="692" t="s">
        <v>285</v>
      </c>
      <c r="B51" s="701"/>
      <c r="C51" s="130"/>
      <c r="D51" s="122"/>
      <c r="E51" s="168"/>
      <c r="F51" s="168"/>
      <c r="G51" s="168"/>
      <c r="H51" s="168"/>
      <c r="I51" s="168"/>
      <c r="J51" s="182"/>
      <c r="K51" s="448"/>
      <c r="L51" s="447">
        <v>3420</v>
      </c>
      <c r="M51" s="164"/>
      <c r="O51"/>
      <c r="R51" s="345"/>
    </row>
    <row r="52" spans="1:18" s="161" customFormat="1" x14ac:dyDescent="0.2">
      <c r="A52" s="692" t="s">
        <v>286</v>
      </c>
      <c r="B52" s="701"/>
      <c r="C52" s="130">
        <v>11240.4</v>
      </c>
      <c r="D52" s="122"/>
      <c r="E52" s="168"/>
      <c r="F52" s="168"/>
      <c r="G52" s="168"/>
      <c r="H52" s="168"/>
      <c r="I52" s="168"/>
      <c r="J52" s="168"/>
      <c r="K52" s="135"/>
      <c r="L52" s="379"/>
      <c r="M52" s="164"/>
      <c r="O52"/>
      <c r="R52" s="345"/>
    </row>
    <row r="53" spans="1:18" s="161" customFormat="1" x14ac:dyDescent="0.2">
      <c r="A53" s="692" t="s">
        <v>287</v>
      </c>
      <c r="B53" s="701"/>
      <c r="C53" s="130"/>
      <c r="D53" s="122"/>
      <c r="E53" s="168"/>
      <c r="F53" s="168"/>
      <c r="G53" s="168"/>
      <c r="H53" s="168"/>
      <c r="I53" s="168"/>
      <c r="J53" s="168"/>
      <c r="K53" s="135">
        <v>5700</v>
      </c>
      <c r="L53" s="379"/>
      <c r="M53" s="164"/>
      <c r="O53"/>
      <c r="R53" s="345"/>
    </row>
    <row r="54" spans="1:18" s="161" customFormat="1" x14ac:dyDescent="0.2">
      <c r="A54" s="692" t="s">
        <v>289</v>
      </c>
      <c r="B54" s="701"/>
      <c r="C54" s="130"/>
      <c r="D54" s="122"/>
      <c r="E54" s="168"/>
      <c r="F54" s="168"/>
      <c r="G54" s="168"/>
      <c r="H54" s="193"/>
      <c r="I54" s="182">
        <v>5437.8</v>
      </c>
      <c r="J54" s="182"/>
      <c r="K54" s="135"/>
      <c r="L54" s="379"/>
      <c r="M54" s="164"/>
      <c r="O54"/>
      <c r="R54" s="345"/>
    </row>
    <row r="55" spans="1:18" x14ac:dyDescent="0.2">
      <c r="A55" s="692" t="s">
        <v>290</v>
      </c>
      <c r="B55" s="701"/>
      <c r="C55" s="549"/>
      <c r="D55" s="135"/>
      <c r="E55" s="193"/>
      <c r="F55" s="193"/>
      <c r="G55" s="193"/>
      <c r="H55" s="193">
        <v>14961</v>
      </c>
      <c r="I55" s="182"/>
      <c r="J55" s="182"/>
      <c r="K55" s="135"/>
      <c r="L55" s="379"/>
      <c r="M55" s="164"/>
      <c r="O55"/>
      <c r="R55" s="94"/>
    </row>
    <row r="56" spans="1:18" x14ac:dyDescent="0.2">
      <c r="A56" s="692" t="s">
        <v>291</v>
      </c>
      <c r="B56" s="701"/>
      <c r="C56" s="549"/>
      <c r="D56" s="135"/>
      <c r="E56" s="193"/>
      <c r="F56" s="193"/>
      <c r="G56" s="193"/>
      <c r="H56" s="193">
        <v>70607.5</v>
      </c>
      <c r="I56" s="193"/>
      <c r="J56" s="193"/>
      <c r="K56" s="135"/>
      <c r="L56" s="379"/>
      <c r="M56" s="164"/>
      <c r="O56"/>
      <c r="R56" s="94"/>
    </row>
    <row r="57" spans="1:18" x14ac:dyDescent="0.2">
      <c r="A57" s="692" t="s">
        <v>293</v>
      </c>
      <c r="B57" s="693"/>
      <c r="C57" s="549"/>
      <c r="D57" s="135"/>
      <c r="E57" s="193"/>
      <c r="F57" s="193"/>
      <c r="G57" s="193"/>
      <c r="H57" s="193"/>
      <c r="I57" s="193">
        <v>6840</v>
      </c>
      <c r="J57" s="193"/>
      <c r="K57" s="135"/>
      <c r="L57" s="379"/>
      <c r="M57" s="164"/>
      <c r="O57"/>
      <c r="R57" s="94"/>
    </row>
    <row r="58" spans="1:18" x14ac:dyDescent="0.2">
      <c r="A58" s="692" t="s">
        <v>320</v>
      </c>
      <c r="B58" s="693"/>
      <c r="C58" s="549"/>
      <c r="D58" s="135"/>
      <c r="E58" s="193">
        <v>3283.2</v>
      </c>
      <c r="F58" s="193"/>
      <c r="G58" s="193"/>
      <c r="H58" s="193"/>
      <c r="I58" s="201"/>
      <c r="J58" s="201"/>
      <c r="K58" s="135"/>
      <c r="L58" s="379"/>
      <c r="M58" s="164"/>
      <c r="O58"/>
      <c r="R58" s="94"/>
    </row>
    <row r="59" spans="1:18" x14ac:dyDescent="0.2">
      <c r="A59" s="692" t="s">
        <v>321</v>
      </c>
      <c r="B59" s="693"/>
      <c r="C59" s="550"/>
      <c r="D59" s="449"/>
      <c r="E59" s="203">
        <v>6121.8</v>
      </c>
      <c r="F59" s="203"/>
      <c r="G59" s="203"/>
      <c r="H59" s="203"/>
      <c r="I59" s="193"/>
      <c r="J59" s="201"/>
      <c r="K59" s="449"/>
      <c r="L59" s="243"/>
      <c r="M59" s="164"/>
      <c r="O59"/>
      <c r="R59" s="94"/>
    </row>
    <row r="60" spans="1:18" x14ac:dyDescent="0.2">
      <c r="A60" s="692" t="s">
        <v>322</v>
      </c>
      <c r="B60" s="693"/>
      <c r="C60" s="550"/>
      <c r="D60" s="449"/>
      <c r="E60" s="203"/>
      <c r="F60" s="203"/>
      <c r="G60" s="203">
        <v>6840</v>
      </c>
      <c r="H60" s="203"/>
      <c r="I60" s="204"/>
      <c r="J60" s="204"/>
      <c r="K60" s="449"/>
      <c r="L60" s="243"/>
      <c r="M60" s="164"/>
      <c r="O60"/>
      <c r="R60" s="94"/>
    </row>
    <row r="61" spans="1:18" x14ac:dyDescent="0.2">
      <c r="A61" s="692" t="s">
        <v>324</v>
      </c>
      <c r="B61" s="693"/>
      <c r="C61" s="550"/>
      <c r="D61" s="449"/>
      <c r="E61" s="203"/>
      <c r="F61" s="203">
        <v>5871</v>
      </c>
      <c r="G61" s="203"/>
      <c r="H61" s="203"/>
      <c r="I61" s="193"/>
      <c r="J61" s="203"/>
      <c r="K61" s="449"/>
      <c r="L61" s="243"/>
      <c r="M61" s="164"/>
      <c r="O61"/>
      <c r="R61" s="94"/>
    </row>
    <row r="62" spans="1:18" x14ac:dyDescent="0.2">
      <c r="A62" s="692" t="s">
        <v>326</v>
      </c>
      <c r="B62" s="693"/>
      <c r="C62" s="550">
        <v>3648</v>
      </c>
      <c r="D62" s="449"/>
      <c r="E62" s="203"/>
      <c r="F62" s="203"/>
      <c r="G62" s="203"/>
      <c r="H62" s="203"/>
      <c r="I62" s="203"/>
      <c r="J62" s="203"/>
      <c r="K62" s="449"/>
      <c r="L62" s="243"/>
      <c r="M62" s="164"/>
      <c r="O62"/>
      <c r="R62" s="94"/>
    </row>
    <row r="63" spans="1:18" x14ac:dyDescent="0.2">
      <c r="A63" s="692" t="s">
        <v>327</v>
      </c>
      <c r="B63" s="693"/>
      <c r="C63" s="550"/>
      <c r="D63" s="449"/>
      <c r="E63" s="203">
        <v>12426</v>
      </c>
      <c r="F63" s="203"/>
      <c r="G63" s="203"/>
      <c r="H63" s="203"/>
      <c r="I63" s="203"/>
      <c r="J63" s="203"/>
      <c r="K63" s="449"/>
      <c r="L63" s="243"/>
      <c r="M63" s="164"/>
      <c r="N63" s="552"/>
      <c r="O63"/>
      <c r="R63" s="94"/>
    </row>
    <row r="64" spans="1:18" x14ac:dyDescent="0.2">
      <c r="A64" s="692" t="s">
        <v>328</v>
      </c>
      <c r="B64" s="693"/>
      <c r="C64" s="550"/>
      <c r="D64" s="449"/>
      <c r="E64" s="203">
        <v>17271</v>
      </c>
      <c r="F64" s="203"/>
      <c r="G64" s="203"/>
      <c r="H64" s="203"/>
      <c r="I64" s="203"/>
      <c r="J64" s="203"/>
      <c r="K64" s="449"/>
      <c r="L64" s="243"/>
      <c r="M64" s="164"/>
      <c r="N64" s="552"/>
      <c r="O64"/>
      <c r="R64" s="94"/>
    </row>
    <row r="65" spans="1:18" x14ac:dyDescent="0.2">
      <c r="A65" s="692" t="s">
        <v>330</v>
      </c>
      <c r="B65" s="693"/>
      <c r="C65" s="550"/>
      <c r="D65" s="449"/>
      <c r="E65" s="203"/>
      <c r="F65" s="203"/>
      <c r="G65" s="203"/>
      <c r="H65" s="203"/>
      <c r="I65" s="203"/>
      <c r="J65" s="203">
        <v>798</v>
      </c>
      <c r="K65" s="449"/>
      <c r="L65" s="243"/>
      <c r="M65" s="164"/>
      <c r="O65"/>
      <c r="R65" s="94"/>
    </row>
    <row r="66" spans="1:18" x14ac:dyDescent="0.2">
      <c r="A66" s="692" t="s">
        <v>331</v>
      </c>
      <c r="B66" s="693"/>
      <c r="C66" s="550"/>
      <c r="D66" s="449">
        <v>3420</v>
      </c>
      <c r="E66" s="203"/>
      <c r="F66" s="203"/>
      <c r="G66" s="203"/>
      <c r="H66" s="203"/>
      <c r="I66" s="203"/>
      <c r="J66" s="203"/>
      <c r="K66" s="449"/>
      <c r="L66" s="243"/>
      <c r="M66" s="164"/>
      <c r="N66" s="555"/>
      <c r="O66"/>
      <c r="R66" s="94"/>
    </row>
    <row r="67" spans="1:18" x14ac:dyDescent="0.2">
      <c r="A67" s="692" t="s">
        <v>333</v>
      </c>
      <c r="B67" s="693"/>
      <c r="C67" s="550"/>
      <c r="D67" s="449">
        <v>10203</v>
      </c>
      <c r="E67" s="203"/>
      <c r="F67" s="203"/>
      <c r="G67" s="203"/>
      <c r="H67" s="203"/>
      <c r="I67" s="203"/>
      <c r="J67" s="203"/>
      <c r="K67" s="449"/>
      <c r="L67" s="243"/>
      <c r="M67" s="164"/>
      <c r="N67" s="555"/>
      <c r="O67"/>
      <c r="R67" s="94"/>
    </row>
    <row r="68" spans="1:18" x14ac:dyDescent="0.2">
      <c r="A68" s="692" t="s">
        <v>338</v>
      </c>
      <c r="B68" s="693"/>
      <c r="C68" s="550"/>
      <c r="D68" s="449"/>
      <c r="E68" s="203"/>
      <c r="F68" s="203"/>
      <c r="G68" s="203"/>
      <c r="H68" s="203"/>
      <c r="I68" s="203"/>
      <c r="J68" s="203"/>
      <c r="K68" s="449">
        <v>5130</v>
      </c>
      <c r="L68" s="243"/>
      <c r="M68" s="164"/>
      <c r="N68" s="555"/>
      <c r="O68"/>
      <c r="R68" s="94"/>
    </row>
    <row r="69" spans="1:18" x14ac:dyDescent="0.2">
      <c r="A69" s="692" t="s">
        <v>344</v>
      </c>
      <c r="B69" s="693"/>
      <c r="C69" s="550"/>
      <c r="D69" s="449"/>
      <c r="E69" s="203"/>
      <c r="F69" s="203"/>
      <c r="G69" s="203"/>
      <c r="H69" s="203"/>
      <c r="I69" s="203"/>
      <c r="J69" s="203"/>
      <c r="K69" s="449">
        <v>4788</v>
      </c>
      <c r="L69" s="243"/>
      <c r="M69" s="164"/>
      <c r="N69" s="555"/>
      <c r="O69"/>
      <c r="R69" s="94"/>
    </row>
    <row r="70" spans="1:18" ht="13.5" thickBot="1" x14ac:dyDescent="0.25">
      <c r="A70" s="697"/>
      <c r="B70" s="753"/>
      <c r="C70" s="551"/>
      <c r="D70" s="156"/>
      <c r="E70" s="194"/>
      <c r="F70" s="194"/>
      <c r="G70" s="194"/>
      <c r="H70" s="194"/>
      <c r="I70" s="194"/>
      <c r="J70" s="194"/>
      <c r="K70" s="156"/>
      <c r="L70" s="249"/>
      <c r="M70" s="164"/>
      <c r="O70"/>
      <c r="R70" s="94"/>
    </row>
    <row r="71" spans="1:18" ht="13.5" thickBot="1" x14ac:dyDescent="0.25">
      <c r="C71" s="556">
        <f t="shared" ref="C71:J71" si="1">SUM(C50:C70)</f>
        <v>14888.4</v>
      </c>
      <c r="D71" s="139">
        <f t="shared" si="1"/>
        <v>13623</v>
      </c>
      <c r="E71" s="139">
        <f t="shared" si="1"/>
        <v>39102</v>
      </c>
      <c r="F71" s="139">
        <f t="shared" si="1"/>
        <v>5871</v>
      </c>
      <c r="G71" s="139">
        <f t="shared" si="1"/>
        <v>6840</v>
      </c>
      <c r="H71" s="139">
        <f t="shared" si="1"/>
        <v>85568.5</v>
      </c>
      <c r="I71" s="139">
        <f t="shared" si="1"/>
        <v>17715.599999999999</v>
      </c>
      <c r="J71" s="139">
        <f t="shared" si="1"/>
        <v>798</v>
      </c>
      <c r="K71" s="187">
        <f>SUM(K50:K70)</f>
        <v>15618</v>
      </c>
      <c r="L71" s="140">
        <f>SUM(L50:L70)</f>
        <v>3420</v>
      </c>
      <c r="M71" s="164"/>
      <c r="N71" s="699">
        <f>SUM(C71:M71)</f>
        <v>203444.5</v>
      </c>
      <c r="O71" s="700"/>
      <c r="R71" s="94"/>
    </row>
    <row r="72" spans="1:18" x14ac:dyDescent="0.2">
      <c r="R72" s="214"/>
    </row>
  </sheetData>
  <mergeCells count="48">
    <mergeCell ref="A9:A13"/>
    <mergeCell ref="H9:H13"/>
    <mergeCell ref="A57:B57"/>
    <mergeCell ref="A56:B56"/>
    <mergeCell ref="A43:B43"/>
    <mergeCell ref="A49:B49"/>
    <mergeCell ref="A50:B50"/>
    <mergeCell ref="A14:A24"/>
    <mergeCell ref="H14:H24"/>
    <mergeCell ref="A34:A39"/>
    <mergeCell ref="H34:H39"/>
    <mergeCell ref="A41:A42"/>
    <mergeCell ref="H41:H42"/>
    <mergeCell ref="I4:K4"/>
    <mergeCell ref="G2:G4"/>
    <mergeCell ref="C3:D3"/>
    <mergeCell ref="E3:F3"/>
    <mergeCell ref="A7:A8"/>
    <mergeCell ref="H7:H8"/>
    <mergeCell ref="A69:B69"/>
    <mergeCell ref="A25:A26"/>
    <mergeCell ref="H25:H26"/>
    <mergeCell ref="A27:A28"/>
    <mergeCell ref="H27:H28"/>
    <mergeCell ref="A30:A33"/>
    <mergeCell ref="H30:H33"/>
    <mergeCell ref="A64:B64"/>
    <mergeCell ref="A62:B62"/>
    <mergeCell ref="A55:B55"/>
    <mergeCell ref="A63:B63"/>
    <mergeCell ref="A66:B66"/>
    <mergeCell ref="A65:B65"/>
    <mergeCell ref="N71:O71"/>
    <mergeCell ref="H43:K44"/>
    <mergeCell ref="C44:D44"/>
    <mergeCell ref="E44:F44"/>
    <mergeCell ref="A70:B70"/>
    <mergeCell ref="A60:B60"/>
    <mergeCell ref="A51:B51"/>
    <mergeCell ref="A52:B52"/>
    <mergeCell ref="A53:B53"/>
    <mergeCell ref="A54:B54"/>
    <mergeCell ref="A61:B61"/>
    <mergeCell ref="A59:B59"/>
    <mergeCell ref="A58:B58"/>
    <mergeCell ref="A68:B68"/>
    <mergeCell ref="A67:B67"/>
    <mergeCell ref="H45:I45"/>
  </mergeCells>
  <printOptions horizontalCentered="1"/>
  <pageMargins left="0.15748031496062992" right="0.15748031496062992" top="0.35433070866141736" bottom="0.55118110236220474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Q66"/>
  <sheetViews>
    <sheetView zoomScaleNormal="100" workbookViewId="0">
      <pane ySplit="4" topLeftCell="A5" activePane="bottomLeft" state="frozenSplit"/>
      <selection pane="bottomLeft" activeCell="E6" sqref="E6:E8"/>
    </sheetView>
  </sheetViews>
  <sheetFormatPr defaultRowHeight="12.75" x14ac:dyDescent="0.2"/>
  <cols>
    <col min="1" max="1" width="2.42578125" style="208" customWidth="1"/>
    <col min="2" max="2" width="6.42578125" style="143" customWidth="1"/>
    <col min="3" max="4" width="10.7109375" style="1" customWidth="1"/>
    <col min="5" max="5" width="11.28515625" style="1" customWidth="1"/>
    <col min="6" max="6" width="10.42578125" style="1" customWidth="1"/>
    <col min="7" max="7" width="10.85546875" style="1" customWidth="1"/>
    <col min="8" max="8" width="11.7109375" style="196" customWidth="1"/>
    <col min="9" max="9" width="11" customWidth="1"/>
    <col min="10" max="10" width="10.7109375" customWidth="1"/>
    <col min="11" max="12" width="9.28515625" customWidth="1"/>
    <col min="13" max="14" width="10.7109375" customWidth="1"/>
    <col min="15" max="15" width="12.85546875" style="161" customWidth="1"/>
    <col min="16" max="16" width="13.5703125" customWidth="1"/>
    <col min="17" max="17" width="13" customWidth="1"/>
    <col min="18" max="18" width="13.28515625" customWidth="1"/>
    <col min="19" max="19" width="13.7109375" customWidth="1"/>
    <col min="20" max="20" width="13.140625" customWidth="1"/>
  </cols>
  <sheetData>
    <row r="1" spans="1:17" ht="15" x14ac:dyDescent="0.25">
      <c r="A1" s="100" t="s">
        <v>104</v>
      </c>
      <c r="C1" s="3"/>
    </row>
    <row r="2" spans="1:17" ht="9.75" customHeight="1" thickBot="1" x14ac:dyDescent="0.25">
      <c r="A2" s="2"/>
      <c r="C2" s="209"/>
      <c r="D2" s="210"/>
      <c r="E2" s="210"/>
      <c r="F2" s="210"/>
      <c r="G2" s="716" t="s">
        <v>87</v>
      </c>
      <c r="H2" s="354"/>
      <c r="I2" s="212"/>
    </row>
    <row r="3" spans="1:17" ht="17.25" customHeight="1" x14ac:dyDescent="0.2">
      <c r="A3" s="2"/>
      <c r="C3" s="718" t="s">
        <v>83</v>
      </c>
      <c r="D3" s="719"/>
      <c r="E3" s="718" t="s">
        <v>82</v>
      </c>
      <c r="F3" s="719"/>
      <c r="G3" s="716"/>
      <c r="H3" s="354"/>
      <c r="I3" s="212"/>
    </row>
    <row r="4" spans="1:17" ht="13.5" thickBot="1" x14ac:dyDescent="0.25">
      <c r="A4" s="141" t="s">
        <v>6</v>
      </c>
      <c r="B4" s="172" t="s">
        <v>18</v>
      </c>
      <c r="C4" s="113" t="s">
        <v>7</v>
      </c>
      <c r="D4" s="211" t="s">
        <v>8</v>
      </c>
      <c r="E4" s="113" t="s">
        <v>86</v>
      </c>
      <c r="F4" s="114" t="s">
        <v>8</v>
      </c>
      <c r="G4" s="717"/>
      <c r="H4" s="207" t="s">
        <v>0</v>
      </c>
      <c r="I4" s="715" t="s">
        <v>19</v>
      </c>
      <c r="J4" s="715"/>
      <c r="K4" s="715"/>
      <c r="N4" s="161"/>
      <c r="O4"/>
    </row>
    <row r="5" spans="1:17" x14ac:dyDescent="0.2">
      <c r="A5" s="702" t="s">
        <v>113</v>
      </c>
      <c r="B5" s="144" t="s">
        <v>332</v>
      </c>
      <c r="C5" s="213"/>
      <c r="D5" s="182">
        <v>6201.6</v>
      </c>
      <c r="E5" s="117"/>
      <c r="F5" s="118"/>
      <c r="G5" s="183"/>
      <c r="H5" s="759">
        <f>SUM(C5:G8)</f>
        <v>38178.6</v>
      </c>
      <c r="I5" s="148" t="s">
        <v>323</v>
      </c>
      <c r="J5" s="73"/>
      <c r="K5" s="74"/>
      <c r="L5" s="283" t="s">
        <v>115</v>
      </c>
      <c r="N5" s="227" t="s">
        <v>116</v>
      </c>
      <c r="O5" s="94"/>
    </row>
    <row r="6" spans="1:17" x14ac:dyDescent="0.2">
      <c r="A6" s="704"/>
      <c r="B6" s="144" t="s">
        <v>295</v>
      </c>
      <c r="C6" s="213">
        <v>16359</v>
      </c>
      <c r="D6" s="182"/>
      <c r="E6" s="213"/>
      <c r="F6" s="118"/>
      <c r="G6" s="183"/>
      <c r="H6" s="760"/>
      <c r="I6" s="148" t="s">
        <v>137</v>
      </c>
      <c r="J6" s="73"/>
      <c r="K6" s="74"/>
      <c r="L6" s="283" t="s">
        <v>125</v>
      </c>
      <c r="N6" s="227"/>
      <c r="O6" s="94"/>
    </row>
    <row r="7" spans="1:17" x14ac:dyDescent="0.2">
      <c r="A7" s="704"/>
      <c r="B7" s="145" t="s">
        <v>297</v>
      </c>
      <c r="C7" s="190">
        <v>9804</v>
      </c>
      <c r="D7" s="168"/>
      <c r="E7" s="190"/>
      <c r="F7" s="120"/>
      <c r="G7" s="170"/>
      <c r="H7" s="760"/>
      <c r="I7" s="148" t="s">
        <v>137</v>
      </c>
      <c r="J7" s="73"/>
      <c r="K7" s="74"/>
      <c r="L7" s="283" t="s">
        <v>125</v>
      </c>
      <c r="N7" s="227"/>
      <c r="O7" s="94"/>
    </row>
    <row r="8" spans="1:17" x14ac:dyDescent="0.2">
      <c r="A8" s="704"/>
      <c r="B8" s="145" t="s">
        <v>298</v>
      </c>
      <c r="C8" s="190">
        <v>5814</v>
      </c>
      <c r="D8" s="168"/>
      <c r="E8" s="190"/>
      <c r="F8" s="120"/>
      <c r="G8" s="170"/>
      <c r="H8" s="760"/>
      <c r="I8" s="148" t="s">
        <v>137</v>
      </c>
      <c r="J8" s="73"/>
      <c r="K8" s="74"/>
      <c r="L8" s="283" t="s">
        <v>125</v>
      </c>
      <c r="N8" s="227"/>
      <c r="O8" s="94"/>
      <c r="P8" s="226"/>
    </row>
    <row r="9" spans="1:17" x14ac:dyDescent="0.2">
      <c r="A9" s="702" t="s">
        <v>117</v>
      </c>
      <c r="B9" s="389" t="s">
        <v>348</v>
      </c>
      <c r="C9" s="391"/>
      <c r="D9" s="205"/>
      <c r="E9" s="391">
        <v>2599.1999999999998</v>
      </c>
      <c r="F9" s="216"/>
      <c r="G9" s="417"/>
      <c r="H9" s="759">
        <f>SUM(C9:G10)</f>
        <v>5791.2</v>
      </c>
      <c r="I9" s="148" t="s">
        <v>349</v>
      </c>
      <c r="J9" s="73"/>
      <c r="K9" s="74"/>
      <c r="L9" s="283" t="s">
        <v>149</v>
      </c>
      <c r="N9" s="227"/>
      <c r="O9" s="94"/>
    </row>
    <row r="10" spans="1:17" x14ac:dyDescent="0.2">
      <c r="A10" s="703"/>
      <c r="B10" s="494" t="s">
        <v>346</v>
      </c>
      <c r="C10" s="388">
        <v>3192</v>
      </c>
      <c r="D10" s="240"/>
      <c r="E10" s="388"/>
      <c r="F10" s="221"/>
      <c r="G10" s="373"/>
      <c r="H10" s="761"/>
      <c r="I10" s="148" t="s">
        <v>148</v>
      </c>
      <c r="J10" s="73"/>
      <c r="K10" s="74"/>
      <c r="L10" s="283" t="s">
        <v>149</v>
      </c>
      <c r="N10" s="227">
        <v>42277</v>
      </c>
      <c r="O10" s="226">
        <f>C10+C31</f>
        <v>11719.2</v>
      </c>
      <c r="Q10" s="239"/>
    </row>
    <row r="11" spans="1:17" x14ac:dyDescent="0.2">
      <c r="A11" s="184" t="s">
        <v>123</v>
      </c>
      <c r="B11" s="412" t="s">
        <v>350</v>
      </c>
      <c r="C11" s="190">
        <v>570</v>
      </c>
      <c r="D11" s="168"/>
      <c r="E11" s="191"/>
      <c r="F11" s="120"/>
      <c r="G11" s="125"/>
      <c r="H11" s="495">
        <f>SUM(C11:G11)</f>
        <v>570</v>
      </c>
      <c r="I11" s="67" t="s">
        <v>351</v>
      </c>
      <c r="J11" s="73"/>
      <c r="K11" s="74"/>
      <c r="L11" s="283" t="s">
        <v>149</v>
      </c>
      <c r="N11" s="227"/>
      <c r="O11" s="94"/>
      <c r="Q11" s="239"/>
    </row>
    <row r="12" spans="1:17" x14ac:dyDescent="0.2">
      <c r="A12" s="176" t="s">
        <v>352</v>
      </c>
      <c r="B12" s="200" t="s">
        <v>353</v>
      </c>
      <c r="C12" s="117"/>
      <c r="D12" s="182">
        <v>2052</v>
      </c>
      <c r="E12" s="213"/>
      <c r="F12" s="118"/>
      <c r="G12" s="159"/>
      <c r="H12" s="495">
        <f>SUM(C12:G12)</f>
        <v>2052</v>
      </c>
      <c r="I12" s="67" t="s">
        <v>253</v>
      </c>
      <c r="J12" s="73"/>
      <c r="K12" s="74"/>
      <c r="L12" s="283" t="s">
        <v>115</v>
      </c>
      <c r="N12" s="227" t="s">
        <v>116</v>
      </c>
      <c r="O12" s="293"/>
      <c r="Q12" s="239"/>
    </row>
    <row r="13" spans="1:17" x14ac:dyDescent="0.2">
      <c r="A13" s="299" t="s">
        <v>223</v>
      </c>
      <c r="B13" s="411" t="s">
        <v>355</v>
      </c>
      <c r="C13" s="388">
        <v>22503.599999999999</v>
      </c>
      <c r="D13" s="240"/>
      <c r="E13" s="387"/>
      <c r="F13" s="221"/>
      <c r="G13" s="373"/>
      <c r="H13" s="495">
        <f>SUM(C13:G13)</f>
        <v>22503.599999999999</v>
      </c>
      <c r="I13" s="67" t="s">
        <v>356</v>
      </c>
      <c r="J13" s="73"/>
      <c r="K13" s="74"/>
      <c r="L13" s="283" t="s">
        <v>125</v>
      </c>
      <c r="N13" s="227">
        <v>42227</v>
      </c>
      <c r="O13" s="293"/>
      <c r="Q13" s="239"/>
    </row>
    <row r="14" spans="1:17" x14ac:dyDescent="0.2">
      <c r="A14" s="702" t="s">
        <v>146</v>
      </c>
      <c r="B14" s="412" t="s">
        <v>358</v>
      </c>
      <c r="C14" s="190">
        <v>-10260</v>
      </c>
      <c r="D14" s="168"/>
      <c r="E14" s="191"/>
      <c r="F14" s="120"/>
      <c r="G14" s="125"/>
      <c r="H14" s="759">
        <f>SUM(C14:G15)</f>
        <v>-1710</v>
      </c>
      <c r="I14" s="67" t="s">
        <v>356</v>
      </c>
      <c r="J14" s="73"/>
      <c r="K14" s="74"/>
      <c r="L14" s="283" t="s">
        <v>357</v>
      </c>
      <c r="N14" s="227" t="s">
        <v>116</v>
      </c>
      <c r="O14" s="293"/>
      <c r="Q14" s="239"/>
    </row>
    <row r="15" spans="1:17" x14ac:dyDescent="0.2">
      <c r="A15" s="703"/>
      <c r="B15" s="411" t="s">
        <v>359</v>
      </c>
      <c r="C15" s="391">
        <v>8550</v>
      </c>
      <c r="D15" s="205"/>
      <c r="E15" s="398"/>
      <c r="F15" s="216"/>
      <c r="G15" s="392"/>
      <c r="H15" s="761"/>
      <c r="I15" s="67" t="s">
        <v>356</v>
      </c>
      <c r="J15" s="73"/>
      <c r="K15" s="74"/>
      <c r="L15" s="283" t="s">
        <v>125</v>
      </c>
      <c r="N15" s="227">
        <v>42227</v>
      </c>
      <c r="O15" s="293"/>
      <c r="Q15" s="239"/>
    </row>
    <row r="16" spans="1:17" x14ac:dyDescent="0.2">
      <c r="A16" s="702" t="s">
        <v>192</v>
      </c>
      <c r="B16" s="412" t="s">
        <v>360</v>
      </c>
      <c r="C16" s="190"/>
      <c r="D16" s="168"/>
      <c r="E16" s="190">
        <v>136800</v>
      </c>
      <c r="F16" s="120"/>
      <c r="G16" s="125"/>
      <c r="H16" s="759">
        <f>SUM(C16:G19)</f>
        <v>146148</v>
      </c>
      <c r="I16" s="67" t="s">
        <v>361</v>
      </c>
      <c r="J16" s="73"/>
      <c r="K16" s="74"/>
      <c r="L16" s="283" t="s">
        <v>149</v>
      </c>
      <c r="N16" s="227">
        <v>42235</v>
      </c>
      <c r="O16" s="293"/>
      <c r="Q16" s="239"/>
    </row>
    <row r="17" spans="1:17" x14ac:dyDescent="0.2">
      <c r="A17" s="704"/>
      <c r="B17" s="411" t="s">
        <v>362</v>
      </c>
      <c r="C17" s="390"/>
      <c r="D17" s="205">
        <v>912</v>
      </c>
      <c r="E17" s="391"/>
      <c r="F17" s="216"/>
      <c r="G17" s="392"/>
      <c r="H17" s="760"/>
      <c r="I17" s="67" t="s">
        <v>154</v>
      </c>
      <c r="J17" s="73"/>
      <c r="K17" s="74"/>
      <c r="L17" s="283" t="s">
        <v>115</v>
      </c>
      <c r="N17" s="227" t="s">
        <v>116</v>
      </c>
      <c r="O17"/>
      <c r="Q17" s="239"/>
    </row>
    <row r="18" spans="1:17" x14ac:dyDescent="0.2">
      <c r="A18" s="704"/>
      <c r="B18" s="412" t="s">
        <v>363</v>
      </c>
      <c r="C18" s="119"/>
      <c r="D18" s="168">
        <v>5016</v>
      </c>
      <c r="E18" s="190"/>
      <c r="F18" s="120"/>
      <c r="G18" s="125"/>
      <c r="H18" s="760"/>
      <c r="I18" s="67" t="s">
        <v>114</v>
      </c>
      <c r="J18" s="73"/>
      <c r="K18" s="74"/>
      <c r="L18" s="283" t="s">
        <v>115</v>
      </c>
      <c r="N18" s="227" t="s">
        <v>116</v>
      </c>
      <c r="O18"/>
      <c r="Q18" s="239"/>
    </row>
    <row r="19" spans="1:17" x14ac:dyDescent="0.2">
      <c r="A19" s="703"/>
      <c r="B19" s="200" t="s">
        <v>364</v>
      </c>
      <c r="C19" s="119"/>
      <c r="D19" s="168">
        <v>3420</v>
      </c>
      <c r="E19" s="190"/>
      <c r="F19" s="120"/>
      <c r="G19" s="125"/>
      <c r="H19" s="761"/>
      <c r="I19" s="67" t="s">
        <v>114</v>
      </c>
      <c r="J19" s="73"/>
      <c r="K19" s="74"/>
      <c r="L19" s="283" t="s">
        <v>115</v>
      </c>
      <c r="N19" s="227" t="s">
        <v>116</v>
      </c>
      <c r="O19"/>
      <c r="Q19" s="239"/>
    </row>
    <row r="20" spans="1:17" x14ac:dyDescent="0.2">
      <c r="A20" s="702" t="s">
        <v>152</v>
      </c>
      <c r="B20" s="200" t="s">
        <v>365</v>
      </c>
      <c r="C20" s="119"/>
      <c r="D20" s="168">
        <v>7752</v>
      </c>
      <c r="E20" s="190"/>
      <c r="F20" s="120"/>
      <c r="G20" s="125"/>
      <c r="H20" s="759">
        <f>SUM(C20:G21)</f>
        <v>15504</v>
      </c>
      <c r="I20" s="67" t="s">
        <v>323</v>
      </c>
      <c r="J20" s="73"/>
      <c r="K20" s="74"/>
      <c r="L20" s="283" t="s">
        <v>115</v>
      </c>
      <c r="N20" s="227" t="s">
        <v>116</v>
      </c>
      <c r="O20"/>
      <c r="Q20" s="239"/>
    </row>
    <row r="21" spans="1:17" x14ac:dyDescent="0.2">
      <c r="A21" s="703"/>
      <c r="B21" s="200" t="s">
        <v>366</v>
      </c>
      <c r="C21" s="190"/>
      <c r="D21" s="168">
        <v>7752</v>
      </c>
      <c r="E21" s="191"/>
      <c r="F21" s="120"/>
      <c r="G21" s="125"/>
      <c r="H21" s="761"/>
      <c r="I21" s="67" t="s">
        <v>323</v>
      </c>
      <c r="J21" s="73"/>
      <c r="K21" s="74"/>
      <c r="L21" s="283" t="s">
        <v>115</v>
      </c>
      <c r="N21" s="227" t="s">
        <v>116</v>
      </c>
      <c r="O21"/>
      <c r="P21" s="226"/>
      <c r="Q21" s="239"/>
    </row>
    <row r="22" spans="1:17" x14ac:dyDescent="0.2">
      <c r="A22" s="702" t="s">
        <v>155</v>
      </c>
      <c r="B22" s="200" t="s">
        <v>367</v>
      </c>
      <c r="C22" s="213">
        <v>5449.2</v>
      </c>
      <c r="D22" s="182"/>
      <c r="E22" s="340"/>
      <c r="F22" s="118"/>
      <c r="G22" s="159"/>
      <c r="H22" s="759">
        <f>SUM(C22:G24)</f>
        <v>13714.2</v>
      </c>
      <c r="I22" s="67" t="s">
        <v>351</v>
      </c>
      <c r="J22" s="73"/>
      <c r="K22" s="74"/>
      <c r="L22" s="283" t="s">
        <v>504</v>
      </c>
      <c r="N22" s="227" t="s">
        <v>116</v>
      </c>
      <c r="O22"/>
      <c r="P22" s="226"/>
      <c r="Q22" s="239"/>
    </row>
    <row r="23" spans="1:17" x14ac:dyDescent="0.2">
      <c r="A23" s="704"/>
      <c r="B23" s="446" t="s">
        <v>368</v>
      </c>
      <c r="C23" s="359"/>
      <c r="D23" s="240"/>
      <c r="E23" s="388">
        <v>5187</v>
      </c>
      <c r="F23" s="221"/>
      <c r="G23" s="373"/>
      <c r="H23" s="760"/>
      <c r="I23" s="67" t="s">
        <v>377</v>
      </c>
      <c r="J23" s="73"/>
      <c r="K23" s="74"/>
      <c r="L23" s="283" t="s">
        <v>125</v>
      </c>
      <c r="N23" s="227">
        <v>42240</v>
      </c>
      <c r="O23"/>
      <c r="P23" s="226"/>
      <c r="Q23" s="239"/>
    </row>
    <row r="24" spans="1:17" x14ac:dyDescent="0.2">
      <c r="A24" s="703"/>
      <c r="B24" s="411" t="s">
        <v>369</v>
      </c>
      <c r="C24" s="119"/>
      <c r="D24" s="168"/>
      <c r="E24" s="190">
        <v>3078</v>
      </c>
      <c r="F24" s="120"/>
      <c r="G24" s="125"/>
      <c r="H24" s="761"/>
      <c r="I24" s="67" t="s">
        <v>370</v>
      </c>
      <c r="J24" s="73"/>
      <c r="K24" s="74"/>
      <c r="L24" s="283" t="s">
        <v>125</v>
      </c>
      <c r="N24" s="227">
        <v>42346</v>
      </c>
      <c r="O24"/>
      <c r="P24" s="94" t="s">
        <v>632</v>
      </c>
      <c r="Q24" s="239"/>
    </row>
    <row r="25" spans="1:17" x14ac:dyDescent="0.2">
      <c r="A25" s="702" t="s">
        <v>242</v>
      </c>
      <c r="B25" s="412" t="s">
        <v>371</v>
      </c>
      <c r="C25" s="119"/>
      <c r="D25" s="168">
        <v>3522.6</v>
      </c>
      <c r="E25" s="191"/>
      <c r="F25" s="120"/>
      <c r="G25" s="125"/>
      <c r="H25" s="759">
        <f>SUM(C25:G26)</f>
        <v>7398.6</v>
      </c>
      <c r="I25" s="67" t="s">
        <v>372</v>
      </c>
      <c r="J25" s="73"/>
      <c r="K25" s="74"/>
      <c r="L25" s="283" t="s">
        <v>115</v>
      </c>
      <c r="N25" s="227" t="s">
        <v>116</v>
      </c>
      <c r="O25"/>
      <c r="P25" s="226"/>
      <c r="Q25" s="239"/>
    </row>
    <row r="26" spans="1:17" x14ac:dyDescent="0.2">
      <c r="A26" s="703"/>
      <c r="B26" s="412" t="s">
        <v>373</v>
      </c>
      <c r="C26" s="119"/>
      <c r="D26" s="168"/>
      <c r="E26" s="190">
        <v>3876</v>
      </c>
      <c r="F26" s="120"/>
      <c r="G26" s="125"/>
      <c r="H26" s="761"/>
      <c r="I26" s="67" t="s">
        <v>374</v>
      </c>
      <c r="J26" s="73"/>
      <c r="K26" s="74"/>
      <c r="L26" s="283" t="s">
        <v>149</v>
      </c>
      <c r="N26" s="227">
        <v>42235</v>
      </c>
      <c r="O26"/>
      <c r="P26" s="226"/>
      <c r="Q26" s="239"/>
    </row>
    <row r="27" spans="1:17" x14ac:dyDescent="0.2">
      <c r="A27" s="184" t="s">
        <v>162</v>
      </c>
      <c r="B27" s="412" t="s">
        <v>375</v>
      </c>
      <c r="C27" s="119"/>
      <c r="D27" s="168"/>
      <c r="E27" s="190">
        <v>5814</v>
      </c>
      <c r="F27" s="120"/>
      <c r="G27" s="125"/>
      <c r="H27" s="495">
        <f>SUM(C27:G27)</f>
        <v>5814</v>
      </c>
      <c r="I27" s="67" t="s">
        <v>374</v>
      </c>
      <c r="J27" s="73"/>
      <c r="K27" s="74"/>
      <c r="L27" s="283" t="s">
        <v>149</v>
      </c>
      <c r="N27" s="227">
        <v>42236</v>
      </c>
      <c r="O27"/>
      <c r="P27" s="226"/>
      <c r="Q27" s="239"/>
    </row>
    <row r="28" spans="1:17" x14ac:dyDescent="0.2">
      <c r="A28" s="184" t="s">
        <v>206</v>
      </c>
      <c r="B28" s="412" t="s">
        <v>376</v>
      </c>
      <c r="C28" s="119"/>
      <c r="D28" s="168"/>
      <c r="E28" s="190">
        <v>20520</v>
      </c>
      <c r="F28" s="120"/>
      <c r="G28" s="125"/>
      <c r="H28" s="495">
        <f>SUM(C28:G28)</f>
        <v>20520</v>
      </c>
      <c r="I28" s="67" t="s">
        <v>179</v>
      </c>
      <c r="J28" s="73"/>
      <c r="K28" s="74"/>
      <c r="L28" s="283" t="s">
        <v>125</v>
      </c>
      <c r="N28" s="227">
        <v>42241</v>
      </c>
      <c r="O28"/>
      <c r="P28" s="226"/>
      <c r="Q28" s="239"/>
    </row>
    <row r="29" spans="1:17" x14ac:dyDescent="0.2">
      <c r="A29" s="702" t="s">
        <v>181</v>
      </c>
      <c r="B29" s="412" t="s">
        <v>378</v>
      </c>
      <c r="C29" s="190">
        <v>2325.6</v>
      </c>
      <c r="D29" s="168"/>
      <c r="E29" s="191"/>
      <c r="F29" s="120"/>
      <c r="G29" s="125"/>
      <c r="H29" s="759">
        <f>SUM(C29:G32)</f>
        <v>32353.199999999997</v>
      </c>
      <c r="I29" s="67" t="s">
        <v>381</v>
      </c>
      <c r="J29" s="73"/>
      <c r="K29" s="74"/>
      <c r="L29" s="283" t="s">
        <v>149</v>
      </c>
      <c r="N29" s="227">
        <v>42242</v>
      </c>
      <c r="O29"/>
      <c r="P29" s="226"/>
      <c r="Q29" s="239"/>
    </row>
    <row r="30" spans="1:17" x14ac:dyDescent="0.2">
      <c r="A30" s="704"/>
      <c r="B30" s="412" t="s">
        <v>379</v>
      </c>
      <c r="C30" s="119"/>
      <c r="D30" s="168">
        <v>15390</v>
      </c>
      <c r="E30" s="191"/>
      <c r="F30" s="120"/>
      <c r="G30" s="125"/>
      <c r="H30" s="760"/>
      <c r="I30" s="67" t="s">
        <v>382</v>
      </c>
      <c r="J30" s="73"/>
      <c r="K30" s="74"/>
      <c r="L30" s="160" t="s">
        <v>115</v>
      </c>
      <c r="N30" s="227" t="s">
        <v>116</v>
      </c>
      <c r="O30"/>
      <c r="P30" s="226"/>
      <c r="Q30" s="239"/>
    </row>
    <row r="31" spans="1:17" x14ac:dyDescent="0.2">
      <c r="A31" s="704"/>
      <c r="B31" s="412" t="s">
        <v>380</v>
      </c>
      <c r="C31" s="190">
        <v>8527.2000000000007</v>
      </c>
      <c r="D31" s="168"/>
      <c r="E31" s="191"/>
      <c r="F31" s="120"/>
      <c r="G31" s="125"/>
      <c r="H31" s="760"/>
      <c r="I31" s="67" t="s">
        <v>148</v>
      </c>
      <c r="J31" s="73"/>
      <c r="K31" s="74"/>
      <c r="L31" s="160" t="s">
        <v>149</v>
      </c>
      <c r="N31" s="227">
        <v>42277</v>
      </c>
      <c r="O31"/>
      <c r="P31" s="226"/>
      <c r="Q31" s="239"/>
    </row>
    <row r="32" spans="1:17" x14ac:dyDescent="0.2">
      <c r="A32" s="703"/>
      <c r="B32" s="412" t="s">
        <v>383</v>
      </c>
      <c r="C32" s="119"/>
      <c r="D32" s="168">
        <v>6110.4</v>
      </c>
      <c r="E32" s="191"/>
      <c r="F32" s="120"/>
      <c r="G32" s="125"/>
      <c r="H32" s="761"/>
      <c r="I32" s="67" t="s">
        <v>114</v>
      </c>
      <c r="J32" s="73"/>
      <c r="K32" s="74"/>
      <c r="L32" s="160" t="s">
        <v>115</v>
      </c>
      <c r="N32" s="227" t="s">
        <v>116</v>
      </c>
      <c r="O32"/>
      <c r="P32" s="226"/>
      <c r="Q32" s="239"/>
    </row>
    <row r="33" spans="1:17" x14ac:dyDescent="0.2">
      <c r="A33" s="702" t="s">
        <v>251</v>
      </c>
      <c r="B33" s="200" t="s">
        <v>384</v>
      </c>
      <c r="C33" s="213">
        <v>2348.4</v>
      </c>
      <c r="D33" s="182"/>
      <c r="E33" s="340"/>
      <c r="F33" s="118"/>
      <c r="G33" s="159"/>
      <c r="H33" s="759">
        <f>SUM(C33:G35)</f>
        <v>13338</v>
      </c>
      <c r="I33" s="67" t="s">
        <v>292</v>
      </c>
      <c r="J33" s="73"/>
      <c r="K33" s="74"/>
      <c r="L33" s="160" t="s">
        <v>149</v>
      </c>
      <c r="N33" s="227">
        <v>42243</v>
      </c>
      <c r="O33"/>
      <c r="P33" s="226"/>
      <c r="Q33" s="239"/>
    </row>
    <row r="34" spans="1:17" x14ac:dyDescent="0.2">
      <c r="A34" s="704"/>
      <c r="B34" s="200" t="s">
        <v>385</v>
      </c>
      <c r="C34" s="117"/>
      <c r="D34" s="182">
        <v>4377.6000000000004</v>
      </c>
      <c r="E34" s="340"/>
      <c r="F34" s="118"/>
      <c r="G34" s="159"/>
      <c r="H34" s="760"/>
      <c r="I34" s="67" t="s">
        <v>114</v>
      </c>
      <c r="J34" s="73"/>
      <c r="K34" s="74"/>
      <c r="L34" s="160" t="s">
        <v>115</v>
      </c>
      <c r="N34" s="227" t="s">
        <v>116</v>
      </c>
      <c r="O34"/>
      <c r="P34" s="226"/>
      <c r="Q34" s="239"/>
    </row>
    <row r="35" spans="1:17" x14ac:dyDescent="0.2">
      <c r="A35" s="703"/>
      <c r="B35" s="200" t="s">
        <v>386</v>
      </c>
      <c r="C35" s="117"/>
      <c r="D35" s="182">
        <v>6612</v>
      </c>
      <c r="E35" s="340"/>
      <c r="F35" s="118"/>
      <c r="G35" s="159"/>
      <c r="H35" s="761"/>
      <c r="I35" s="67" t="s">
        <v>114</v>
      </c>
      <c r="J35" s="73"/>
      <c r="K35" s="74"/>
      <c r="L35" s="160" t="s">
        <v>115</v>
      </c>
      <c r="N35" s="227" t="s">
        <v>116</v>
      </c>
      <c r="O35"/>
      <c r="P35" s="226"/>
      <c r="Q35" s="239"/>
    </row>
    <row r="36" spans="1:17" x14ac:dyDescent="0.2">
      <c r="A36" s="702" t="s">
        <v>215</v>
      </c>
      <c r="B36" s="200" t="s">
        <v>387</v>
      </c>
      <c r="C36" s="117"/>
      <c r="D36" s="182">
        <v>10203</v>
      </c>
      <c r="E36" s="340"/>
      <c r="F36" s="118"/>
      <c r="G36" s="159"/>
      <c r="H36" s="759">
        <f>SUM(C36:G39)</f>
        <v>86879.4</v>
      </c>
      <c r="I36" s="67" t="s">
        <v>176</v>
      </c>
      <c r="J36" s="73"/>
      <c r="K36" s="74"/>
      <c r="L36" s="160" t="s">
        <v>115</v>
      </c>
      <c r="N36" s="227" t="s">
        <v>116</v>
      </c>
      <c r="O36"/>
      <c r="P36" s="226"/>
      <c r="Q36" s="239"/>
    </row>
    <row r="37" spans="1:17" x14ac:dyDescent="0.2">
      <c r="A37" s="704"/>
      <c r="B37" s="200" t="s">
        <v>388</v>
      </c>
      <c r="C37" s="117"/>
      <c r="D37" s="182">
        <v>28158</v>
      </c>
      <c r="E37" s="340"/>
      <c r="F37" s="118"/>
      <c r="G37" s="159"/>
      <c r="H37" s="760"/>
      <c r="I37" s="67" t="s">
        <v>372</v>
      </c>
      <c r="J37" s="73"/>
      <c r="K37" s="74"/>
      <c r="L37" s="160" t="s">
        <v>115</v>
      </c>
      <c r="N37" s="227" t="s">
        <v>116</v>
      </c>
      <c r="O37"/>
      <c r="P37" s="226"/>
      <c r="Q37" s="239"/>
    </row>
    <row r="38" spans="1:17" x14ac:dyDescent="0.2">
      <c r="A38" s="704"/>
      <c r="B38" s="200" t="s">
        <v>389</v>
      </c>
      <c r="C38" s="213">
        <v>2348.4</v>
      </c>
      <c r="D38" s="182"/>
      <c r="E38" s="340"/>
      <c r="F38" s="118"/>
      <c r="G38" s="159"/>
      <c r="H38" s="760"/>
      <c r="I38" s="67" t="s">
        <v>136</v>
      </c>
      <c r="J38" s="73"/>
      <c r="K38" s="74"/>
      <c r="L38" s="160" t="s">
        <v>125</v>
      </c>
      <c r="N38" s="227">
        <v>42286</v>
      </c>
      <c r="O38"/>
      <c r="P38" s="226"/>
      <c r="Q38" s="239"/>
    </row>
    <row r="39" spans="1:17" x14ac:dyDescent="0.2">
      <c r="A39" s="703"/>
      <c r="B39" s="200" t="s">
        <v>390</v>
      </c>
      <c r="C39" s="117"/>
      <c r="D39" s="182"/>
      <c r="E39" s="213">
        <v>46170</v>
      </c>
      <c r="F39" s="118"/>
      <c r="G39" s="159"/>
      <c r="H39" s="761"/>
      <c r="I39" s="67" t="s">
        <v>391</v>
      </c>
      <c r="J39" s="73"/>
      <c r="K39" s="74"/>
      <c r="L39" s="160" t="s">
        <v>444</v>
      </c>
      <c r="N39" s="227">
        <v>42264</v>
      </c>
      <c r="O39"/>
      <c r="P39" s="226"/>
      <c r="Q39" s="239"/>
    </row>
    <row r="40" spans="1:17" ht="13.5" thickBot="1" x14ac:dyDescent="0.25">
      <c r="A40" s="561" t="s">
        <v>345</v>
      </c>
      <c r="B40" s="200" t="s">
        <v>392</v>
      </c>
      <c r="C40" s="117"/>
      <c r="D40" s="182"/>
      <c r="E40" s="213">
        <v>9690</v>
      </c>
      <c r="F40" s="118"/>
      <c r="G40" s="159"/>
      <c r="H40" s="563">
        <f>SUM(C40:G40)</f>
        <v>9690</v>
      </c>
      <c r="I40" s="67" t="s">
        <v>374</v>
      </c>
      <c r="J40" s="73"/>
      <c r="K40" s="74"/>
      <c r="L40" s="160" t="s">
        <v>149</v>
      </c>
      <c r="N40" s="227">
        <v>42247</v>
      </c>
      <c r="O40"/>
      <c r="P40" s="226"/>
      <c r="Q40" s="239"/>
    </row>
    <row r="41" spans="1:17" s="13" customFormat="1" ht="14.25" thickTop="1" thickBot="1" x14ac:dyDescent="0.25">
      <c r="A41" s="705"/>
      <c r="B41" s="705"/>
      <c r="C41" s="115">
        <f t="shared" ref="C41:H41" si="0">SUM(C5:C40)</f>
        <v>77531.39999999998</v>
      </c>
      <c r="D41" s="115">
        <f t="shared" si="0"/>
        <v>107479.2</v>
      </c>
      <c r="E41" s="115">
        <f t="shared" si="0"/>
        <v>233734.2</v>
      </c>
      <c r="F41" s="115">
        <f t="shared" si="0"/>
        <v>0</v>
      </c>
      <c r="G41" s="115">
        <f t="shared" si="0"/>
        <v>0</v>
      </c>
      <c r="H41" s="706">
        <f t="shared" si="0"/>
        <v>418744.80000000005</v>
      </c>
      <c r="I41" s="707"/>
      <c r="J41" s="707"/>
      <c r="K41" s="707"/>
      <c r="L41" s="758">
        <f>SUM(C41:G41)</f>
        <v>418744.8</v>
      </c>
      <c r="M41" s="758"/>
      <c r="N41" s="424"/>
    </row>
    <row r="42" spans="1:17" s="13" customFormat="1" ht="15" customHeight="1" x14ac:dyDescent="0.2">
      <c r="A42" s="99"/>
      <c r="B42" s="146"/>
      <c r="C42" s="755">
        <f>SUM(C41:D41)</f>
        <v>185010.59999999998</v>
      </c>
      <c r="D42" s="756"/>
      <c r="E42" s="709">
        <f>SUM(E41:F41)</f>
        <v>233734.2</v>
      </c>
      <c r="F42" s="710"/>
      <c r="G42" s="127">
        <f>SUM(G41)</f>
        <v>0</v>
      </c>
      <c r="H42" s="706"/>
      <c r="I42" s="706"/>
      <c r="J42" s="706"/>
      <c r="K42" s="706"/>
      <c r="L42" s="758">
        <f>SUM(C42:G42)</f>
        <v>418744.8</v>
      </c>
      <c r="M42" s="758"/>
      <c r="N42" s="162"/>
    </row>
    <row r="43" spans="1:17" s="13" customFormat="1" x14ac:dyDescent="0.2">
      <c r="A43" s="99"/>
      <c r="B43" s="146"/>
      <c r="C43" s="9"/>
      <c r="D43" s="9"/>
      <c r="E43" s="9"/>
      <c r="F43" s="9"/>
      <c r="G43" s="9"/>
      <c r="H43" s="9"/>
      <c r="I43" s="14"/>
      <c r="M43" s="8"/>
      <c r="N43" s="8"/>
      <c r="O43" s="162"/>
    </row>
    <row r="45" spans="1:17" ht="15" x14ac:dyDescent="0.2">
      <c r="A45" s="124" t="s">
        <v>17</v>
      </c>
    </row>
    <row r="46" spans="1:17" s="161" customFormat="1" ht="7.5" customHeight="1" x14ac:dyDescent="0.2">
      <c r="A46" s="4"/>
      <c r="B46" s="143"/>
      <c r="C46" s="1"/>
      <c r="D46" s="1"/>
      <c r="E46" s="1"/>
      <c r="F46" s="1"/>
      <c r="G46" s="1"/>
      <c r="H46" s="196"/>
      <c r="I46"/>
      <c r="J46"/>
      <c r="K46"/>
      <c r="L46"/>
      <c r="M46"/>
      <c r="N46"/>
      <c r="P46"/>
    </row>
    <row r="47" spans="1:17" s="161" customFormat="1" ht="17.25" customHeight="1" thickBot="1" x14ac:dyDescent="0.25">
      <c r="A47" s="217"/>
      <c r="B47" s="218" t="s">
        <v>83</v>
      </c>
      <c r="C47" s="196"/>
      <c r="D47" s="1"/>
      <c r="E47" s="1"/>
      <c r="F47" s="1"/>
      <c r="G47" s="1"/>
      <c r="H47" s="196"/>
      <c r="I47"/>
      <c r="J47" s="160"/>
      <c r="K47"/>
      <c r="L47"/>
      <c r="M47"/>
      <c r="N47"/>
      <c r="P47"/>
    </row>
    <row r="48" spans="1:17" s="161" customFormat="1" ht="13.5" thickBot="1" x14ac:dyDescent="0.25">
      <c r="A48" s="711"/>
      <c r="B48" s="712"/>
      <c r="C48" s="175" t="s">
        <v>48</v>
      </c>
      <c r="D48" s="192" t="s">
        <v>74</v>
      </c>
      <c r="E48" s="192" t="s">
        <v>354</v>
      </c>
      <c r="F48" s="192" t="s">
        <v>14</v>
      </c>
      <c r="G48" s="356" t="s">
        <v>61</v>
      </c>
      <c r="H48" s="192" t="s">
        <v>9</v>
      </c>
      <c r="I48" s="157" t="s">
        <v>16</v>
      </c>
      <c r="J48" s="163"/>
      <c r="L48"/>
    </row>
    <row r="49" spans="1:15" s="161" customFormat="1" x14ac:dyDescent="0.2">
      <c r="A49" s="741" t="s">
        <v>332</v>
      </c>
      <c r="B49" s="742"/>
      <c r="C49" s="131"/>
      <c r="D49" s="132"/>
      <c r="E49" s="353"/>
      <c r="F49" s="353">
        <v>6201.6</v>
      </c>
      <c r="G49" s="557"/>
      <c r="H49" s="451"/>
      <c r="I49" s="174"/>
      <c r="J49" s="164"/>
      <c r="L49"/>
    </row>
    <row r="50" spans="1:15" s="161" customFormat="1" x14ac:dyDescent="0.2">
      <c r="A50" s="724" t="s">
        <v>353</v>
      </c>
      <c r="B50" s="725"/>
      <c r="C50" s="133"/>
      <c r="D50" s="134"/>
      <c r="E50" s="134">
        <v>2052</v>
      </c>
      <c r="F50" s="134"/>
      <c r="G50" s="199"/>
      <c r="H50" s="137"/>
      <c r="I50" s="120"/>
      <c r="J50" s="164"/>
      <c r="L50"/>
    </row>
    <row r="51" spans="1:15" x14ac:dyDescent="0.2">
      <c r="A51" s="692" t="s">
        <v>362</v>
      </c>
      <c r="B51" s="701"/>
      <c r="C51" s="380"/>
      <c r="D51" s="202"/>
      <c r="E51" s="202"/>
      <c r="F51" s="202"/>
      <c r="G51" s="351"/>
      <c r="H51" s="558"/>
      <c r="I51" s="216">
        <v>912</v>
      </c>
      <c r="J51" s="164"/>
      <c r="K51" s="161"/>
      <c r="O51"/>
    </row>
    <row r="52" spans="1:15" x14ac:dyDescent="0.2">
      <c r="A52" s="692" t="s">
        <v>363</v>
      </c>
      <c r="B52" s="701"/>
      <c r="C52" s="380"/>
      <c r="D52" s="202"/>
      <c r="E52" s="202"/>
      <c r="F52" s="202"/>
      <c r="G52" s="224"/>
      <c r="H52" s="229">
        <v>5016</v>
      </c>
      <c r="I52" s="120"/>
      <c r="J52" s="164"/>
      <c r="K52" s="161"/>
      <c r="O52"/>
    </row>
    <row r="53" spans="1:15" x14ac:dyDescent="0.2">
      <c r="A53" s="692" t="s">
        <v>364</v>
      </c>
      <c r="B53" s="701"/>
      <c r="C53" s="380"/>
      <c r="D53" s="229"/>
      <c r="E53" s="202"/>
      <c r="F53" s="202"/>
      <c r="G53" s="224"/>
      <c r="H53" s="229">
        <v>3420</v>
      </c>
      <c r="I53" s="120"/>
      <c r="J53" s="164"/>
      <c r="K53" s="161"/>
      <c r="O53"/>
    </row>
    <row r="54" spans="1:15" x14ac:dyDescent="0.2">
      <c r="A54" s="692" t="s">
        <v>365</v>
      </c>
      <c r="B54" s="701"/>
      <c r="C54" s="380"/>
      <c r="D54" s="229"/>
      <c r="E54" s="202"/>
      <c r="F54" s="202">
        <v>7752</v>
      </c>
      <c r="G54" s="224"/>
      <c r="H54" s="229"/>
      <c r="I54" s="120"/>
      <c r="J54" s="164"/>
      <c r="K54" s="161"/>
      <c r="O54"/>
    </row>
    <row r="55" spans="1:15" x14ac:dyDescent="0.2">
      <c r="A55" s="692" t="s">
        <v>366</v>
      </c>
      <c r="B55" s="701"/>
      <c r="C55" s="380"/>
      <c r="D55" s="229"/>
      <c r="E55" s="202"/>
      <c r="F55" s="202">
        <v>7752</v>
      </c>
      <c r="G55" s="224"/>
      <c r="H55" s="229"/>
      <c r="I55" s="120"/>
      <c r="J55" s="164"/>
      <c r="K55" s="161"/>
      <c r="O55"/>
    </row>
    <row r="56" spans="1:15" x14ac:dyDescent="0.2">
      <c r="A56" s="692" t="s">
        <v>371</v>
      </c>
      <c r="B56" s="701"/>
      <c r="C56" s="380"/>
      <c r="D56" s="229"/>
      <c r="E56" s="202"/>
      <c r="F56" s="202"/>
      <c r="G56" s="224">
        <v>3522.6</v>
      </c>
      <c r="H56" s="229"/>
      <c r="I56" s="221"/>
      <c r="J56" s="164"/>
      <c r="K56" s="161"/>
      <c r="O56"/>
    </row>
    <row r="57" spans="1:15" x14ac:dyDescent="0.2">
      <c r="A57" s="692" t="s">
        <v>379</v>
      </c>
      <c r="B57" s="701"/>
      <c r="C57" s="380"/>
      <c r="D57" s="229">
        <v>15390</v>
      </c>
      <c r="E57" s="202"/>
      <c r="F57" s="202"/>
      <c r="G57" s="224"/>
      <c r="H57" s="229"/>
      <c r="I57" s="221"/>
      <c r="J57" s="164"/>
      <c r="K57" s="161"/>
      <c r="O57"/>
    </row>
    <row r="58" spans="1:15" x14ac:dyDescent="0.2">
      <c r="A58" s="692" t="s">
        <v>383</v>
      </c>
      <c r="B58" s="701"/>
      <c r="C58" s="380"/>
      <c r="D58" s="202"/>
      <c r="E58" s="202"/>
      <c r="F58" s="202"/>
      <c r="G58" s="224"/>
      <c r="H58" s="229">
        <v>6110.4</v>
      </c>
      <c r="I58" s="221"/>
      <c r="J58" s="164"/>
      <c r="K58" s="559"/>
      <c r="O58"/>
    </row>
    <row r="59" spans="1:15" x14ac:dyDescent="0.2">
      <c r="A59" s="692" t="s">
        <v>385</v>
      </c>
      <c r="B59" s="701"/>
      <c r="C59" s="380"/>
      <c r="D59" s="202"/>
      <c r="E59" s="202"/>
      <c r="F59" s="202"/>
      <c r="G59" s="224"/>
      <c r="H59" s="229">
        <v>4377.6000000000004</v>
      </c>
      <c r="I59" s="221"/>
      <c r="J59" s="164"/>
      <c r="K59" s="559"/>
      <c r="O59"/>
    </row>
    <row r="60" spans="1:15" x14ac:dyDescent="0.2">
      <c r="A60" s="692" t="s">
        <v>386</v>
      </c>
      <c r="B60" s="701"/>
      <c r="C60" s="380"/>
      <c r="D60" s="202"/>
      <c r="E60" s="202"/>
      <c r="F60" s="202"/>
      <c r="G60" s="224"/>
      <c r="H60" s="229">
        <v>6612</v>
      </c>
      <c r="I60" s="221"/>
      <c r="J60" s="164"/>
      <c r="K60" s="559"/>
      <c r="O60"/>
    </row>
    <row r="61" spans="1:15" x14ac:dyDescent="0.2">
      <c r="A61" s="692" t="s">
        <v>387</v>
      </c>
      <c r="B61" s="701"/>
      <c r="C61" s="380">
        <v>10203</v>
      </c>
      <c r="D61" s="202"/>
      <c r="E61" s="202"/>
      <c r="F61" s="202"/>
      <c r="G61" s="224"/>
      <c r="H61" s="229"/>
      <c r="I61" s="221"/>
      <c r="J61" s="164"/>
      <c r="K61" s="560"/>
      <c r="O61"/>
    </row>
    <row r="62" spans="1:15" ht="13.5" thickBot="1" x14ac:dyDescent="0.25">
      <c r="A62" s="697" t="s">
        <v>388</v>
      </c>
      <c r="B62" s="723"/>
      <c r="C62" s="380"/>
      <c r="D62" s="202"/>
      <c r="E62" s="202"/>
      <c r="F62" s="202"/>
      <c r="G62" s="224">
        <v>28158</v>
      </c>
      <c r="H62" s="229"/>
      <c r="I62" s="221"/>
      <c r="J62" s="164"/>
      <c r="K62" s="560"/>
      <c r="O62"/>
    </row>
    <row r="63" spans="1:15" ht="13.5" thickBot="1" x14ac:dyDescent="0.25">
      <c r="C63" s="347">
        <f t="shared" ref="C63:I63" si="1">SUM(C49:C62)</f>
        <v>10203</v>
      </c>
      <c r="D63" s="348">
        <f t="shared" si="1"/>
        <v>15390</v>
      </c>
      <c r="E63" s="348">
        <f t="shared" si="1"/>
        <v>2052</v>
      </c>
      <c r="F63" s="348">
        <f t="shared" si="1"/>
        <v>21705.599999999999</v>
      </c>
      <c r="G63" s="348">
        <f t="shared" si="1"/>
        <v>31680.6</v>
      </c>
      <c r="H63" s="348">
        <f t="shared" si="1"/>
        <v>25536</v>
      </c>
      <c r="I63" s="349">
        <f t="shared" si="1"/>
        <v>912</v>
      </c>
      <c r="J63" s="164"/>
      <c r="K63" s="699">
        <f>SUM(C63:J63)</f>
        <v>107479.2</v>
      </c>
      <c r="L63" s="700"/>
      <c r="O63"/>
    </row>
    <row r="64" spans="1:15" x14ac:dyDescent="0.2">
      <c r="C64" s="568" t="s">
        <v>222</v>
      </c>
      <c r="D64" s="568" t="s">
        <v>222</v>
      </c>
      <c r="F64" s="568" t="s">
        <v>222</v>
      </c>
      <c r="G64" s="568" t="s">
        <v>222</v>
      </c>
      <c r="H64" s="568" t="s">
        <v>222</v>
      </c>
      <c r="I64" s="568" t="s">
        <v>222</v>
      </c>
      <c r="N64" s="161"/>
      <c r="O64"/>
    </row>
    <row r="65" spans="14:15" x14ac:dyDescent="0.2">
      <c r="N65" s="161"/>
      <c r="O65"/>
    </row>
    <row r="66" spans="14:15" x14ac:dyDescent="0.2">
      <c r="N66" s="762"/>
      <c r="O66" s="762"/>
    </row>
  </sheetData>
  <mergeCells count="47">
    <mergeCell ref="A25:A26"/>
    <mergeCell ref="H25:H26"/>
    <mergeCell ref="A29:A32"/>
    <mergeCell ref="H29:H32"/>
    <mergeCell ref="A33:A35"/>
    <mergeCell ref="H33:H35"/>
    <mergeCell ref="A16:A19"/>
    <mergeCell ref="H16:H19"/>
    <mergeCell ref="A20:A21"/>
    <mergeCell ref="H20:H21"/>
    <mergeCell ref="A22:A24"/>
    <mergeCell ref="A5:A8"/>
    <mergeCell ref="H5:H8"/>
    <mergeCell ref="A9:A10"/>
    <mergeCell ref="H9:H10"/>
    <mergeCell ref="A14:A15"/>
    <mergeCell ref="H14:H15"/>
    <mergeCell ref="I4:K4"/>
    <mergeCell ref="G2:G4"/>
    <mergeCell ref="C3:D3"/>
    <mergeCell ref="E3:F3"/>
    <mergeCell ref="H22:H24"/>
    <mergeCell ref="N66:O66"/>
    <mergeCell ref="K63:L63"/>
    <mergeCell ref="A49:B49"/>
    <mergeCell ref="A50:B50"/>
    <mergeCell ref="A51:B51"/>
    <mergeCell ref="A52:B52"/>
    <mergeCell ref="A53:B53"/>
    <mergeCell ref="A61:B61"/>
    <mergeCell ref="A62:B62"/>
    <mergeCell ref="A56:B56"/>
    <mergeCell ref="A54:B54"/>
    <mergeCell ref="A55:B55"/>
    <mergeCell ref="A59:B59"/>
    <mergeCell ref="A60:B60"/>
    <mergeCell ref="A58:B58"/>
    <mergeCell ref="L41:M41"/>
    <mergeCell ref="L42:M42"/>
    <mergeCell ref="A57:B57"/>
    <mergeCell ref="H41:K42"/>
    <mergeCell ref="A36:A39"/>
    <mergeCell ref="H36:H39"/>
    <mergeCell ref="C42:D42"/>
    <mergeCell ref="A48:B48"/>
    <mergeCell ref="E42:F42"/>
    <mergeCell ref="A41:B41"/>
  </mergeCells>
  <printOptions horizontalCentered="1"/>
  <pageMargins left="0.15748031496062992" right="0.15748031496062992" top="0.35433070866141736" bottom="0.55118110236220474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R68"/>
  <sheetViews>
    <sheetView zoomScaleNormal="100" workbookViewId="0">
      <pane ySplit="4" topLeftCell="A11" activePane="bottomLeft" state="frozenSplit"/>
      <selection pane="bottomLeft" activeCell="J26" sqref="J26"/>
    </sheetView>
  </sheetViews>
  <sheetFormatPr defaultRowHeight="12.75" x14ac:dyDescent="0.2"/>
  <cols>
    <col min="1" max="1" width="3" style="220" customWidth="1"/>
    <col min="2" max="2" width="6.42578125" style="143" customWidth="1"/>
    <col min="3" max="4" width="10.7109375" style="1" customWidth="1"/>
    <col min="5" max="5" width="11.28515625" style="1" customWidth="1"/>
    <col min="6" max="6" width="10.7109375" style="1" customWidth="1"/>
    <col min="7" max="7" width="11.5703125" style="1" customWidth="1"/>
    <col min="8" max="8" width="11.5703125" style="1" hidden="1" customWidth="1"/>
    <col min="9" max="9" width="11.42578125" style="1" customWidth="1"/>
    <col min="10" max="10" width="9.85546875" customWidth="1"/>
    <col min="11" max="11" width="10.42578125" customWidth="1"/>
    <col min="12" max="12" width="10.85546875" customWidth="1"/>
    <col min="13" max="13" width="10.5703125" customWidth="1"/>
    <col min="14" max="15" width="10.7109375" customWidth="1"/>
    <col min="16" max="16" width="13.85546875" style="161" customWidth="1"/>
    <col min="17" max="17" width="12.85546875" customWidth="1"/>
    <col min="18" max="18" width="19.28515625" customWidth="1"/>
    <col min="19" max="19" width="13.28515625" customWidth="1"/>
    <col min="20" max="20" width="13.7109375" customWidth="1"/>
    <col min="21" max="21" width="13.140625" customWidth="1"/>
  </cols>
  <sheetData>
    <row r="1" spans="1:18" ht="15" x14ac:dyDescent="0.25">
      <c r="A1" s="100" t="s">
        <v>103</v>
      </c>
      <c r="C1" s="3"/>
    </row>
    <row r="2" spans="1:18" ht="9.75" customHeight="1" thickBot="1" x14ac:dyDescent="0.25">
      <c r="A2" s="2"/>
      <c r="C2" s="209"/>
      <c r="D2" s="210"/>
      <c r="E2" s="210"/>
      <c r="F2" s="210"/>
      <c r="G2" s="716" t="s">
        <v>96</v>
      </c>
      <c r="H2" s="579"/>
      <c r="I2" s="354"/>
      <c r="J2" s="212"/>
    </row>
    <row r="3" spans="1:18" ht="17.25" customHeight="1" x14ac:dyDescent="0.2">
      <c r="A3" s="2"/>
      <c r="C3" s="718" t="s">
        <v>83</v>
      </c>
      <c r="D3" s="719"/>
      <c r="E3" s="718" t="s">
        <v>82</v>
      </c>
      <c r="F3" s="719"/>
      <c r="G3" s="716"/>
      <c r="H3" s="579"/>
      <c r="I3" s="354"/>
      <c r="J3" s="212"/>
    </row>
    <row r="4" spans="1:18" ht="13.5" thickBot="1" x14ac:dyDescent="0.25">
      <c r="A4" s="141" t="s">
        <v>6</v>
      </c>
      <c r="B4" s="172" t="s">
        <v>18</v>
      </c>
      <c r="C4" s="113" t="s">
        <v>7</v>
      </c>
      <c r="D4" s="211" t="s">
        <v>8</v>
      </c>
      <c r="E4" s="113" t="s">
        <v>86</v>
      </c>
      <c r="F4" s="114" t="s">
        <v>8</v>
      </c>
      <c r="G4" s="717"/>
      <c r="H4" s="579"/>
      <c r="I4" s="219" t="s">
        <v>0</v>
      </c>
      <c r="J4" s="715" t="s">
        <v>19</v>
      </c>
      <c r="K4" s="715"/>
      <c r="L4" s="715"/>
      <c r="O4" s="161"/>
      <c r="P4"/>
    </row>
    <row r="5" spans="1:18" x14ac:dyDescent="0.2">
      <c r="A5" s="763" t="s">
        <v>184</v>
      </c>
      <c r="B5" s="200" t="s">
        <v>393</v>
      </c>
      <c r="C5" s="117"/>
      <c r="D5" s="182"/>
      <c r="E5" s="340"/>
      <c r="F5" s="118">
        <v>6840</v>
      </c>
      <c r="G5" s="377"/>
      <c r="H5" s="582">
        <f>SUM(C5:G5)/1.14</f>
        <v>6000.0000000000009</v>
      </c>
      <c r="I5" s="720">
        <f>SUM(C5:G8)</f>
        <v>32381.7</v>
      </c>
      <c r="J5" s="67" t="s">
        <v>394</v>
      </c>
      <c r="K5" s="73"/>
      <c r="L5" s="74"/>
      <c r="M5" s="160" t="s">
        <v>115</v>
      </c>
      <c r="O5" s="227" t="s">
        <v>116</v>
      </c>
      <c r="P5"/>
      <c r="Q5" s="226"/>
      <c r="R5" s="239"/>
    </row>
    <row r="6" spans="1:18" x14ac:dyDescent="0.2">
      <c r="A6" s="704"/>
      <c r="B6" s="412" t="s">
        <v>395</v>
      </c>
      <c r="C6" s="190"/>
      <c r="D6" s="168">
        <v>4696.8</v>
      </c>
      <c r="E6" s="191"/>
      <c r="F6" s="120"/>
      <c r="G6" s="130"/>
      <c r="H6" s="583">
        <f t="shared" ref="H6:H47" si="0">SUM(C6:G6)/1.14</f>
        <v>4120.0000000000009</v>
      </c>
      <c r="I6" s="695"/>
      <c r="J6" s="67" t="s">
        <v>273</v>
      </c>
      <c r="K6" s="73"/>
      <c r="L6" s="74"/>
      <c r="M6" s="160" t="s">
        <v>115</v>
      </c>
      <c r="O6" s="227" t="s">
        <v>116</v>
      </c>
      <c r="P6" s="293"/>
      <c r="R6" s="239"/>
    </row>
    <row r="7" spans="1:18" x14ac:dyDescent="0.2">
      <c r="A7" s="704"/>
      <c r="B7" s="412" t="s">
        <v>526</v>
      </c>
      <c r="C7" s="213">
        <v>19932.900000000001</v>
      </c>
      <c r="D7" s="182"/>
      <c r="E7" s="340"/>
      <c r="F7" s="118"/>
      <c r="G7" s="377"/>
      <c r="H7" s="583">
        <f t="shared" si="0"/>
        <v>17485.000000000004</v>
      </c>
      <c r="I7" s="695"/>
      <c r="J7" s="67" t="s">
        <v>527</v>
      </c>
      <c r="K7" s="73"/>
      <c r="L7" s="74"/>
      <c r="M7" s="160" t="s">
        <v>528</v>
      </c>
      <c r="O7" s="227" t="s">
        <v>116</v>
      </c>
      <c r="P7" s="293"/>
      <c r="R7" s="239"/>
    </row>
    <row r="8" spans="1:18" x14ac:dyDescent="0.2">
      <c r="A8" s="703"/>
      <c r="B8" s="200" t="s">
        <v>397</v>
      </c>
      <c r="C8" s="213"/>
      <c r="D8" s="182"/>
      <c r="E8" s="340"/>
      <c r="F8" s="118"/>
      <c r="G8" s="377">
        <v>912</v>
      </c>
      <c r="H8" s="125">
        <f t="shared" si="0"/>
        <v>800.00000000000011</v>
      </c>
      <c r="I8" s="696"/>
      <c r="J8" s="67" t="s">
        <v>336</v>
      </c>
      <c r="K8" s="73"/>
      <c r="L8" s="74"/>
      <c r="M8" s="283" t="s">
        <v>115</v>
      </c>
      <c r="O8" s="227" t="s">
        <v>116</v>
      </c>
      <c r="P8" s="293"/>
      <c r="R8" s="239"/>
    </row>
    <row r="9" spans="1:18" x14ac:dyDescent="0.2">
      <c r="A9" s="477" t="s">
        <v>113</v>
      </c>
      <c r="B9" s="200" t="s">
        <v>398</v>
      </c>
      <c r="C9" s="213">
        <v>1174.2</v>
      </c>
      <c r="D9" s="182"/>
      <c r="E9" s="213"/>
      <c r="F9" s="118"/>
      <c r="G9" s="377"/>
      <c r="H9" s="125">
        <f t="shared" si="0"/>
        <v>1030.0000000000002</v>
      </c>
      <c r="I9" s="578">
        <f>SUM(C9:G9)</f>
        <v>1174.2</v>
      </c>
      <c r="J9" s="67" t="s">
        <v>399</v>
      </c>
      <c r="K9" s="73"/>
      <c r="L9" s="74"/>
      <c r="M9" s="283" t="s">
        <v>400</v>
      </c>
      <c r="O9" s="227">
        <v>42250</v>
      </c>
      <c r="P9" s="293"/>
      <c r="R9" s="239"/>
    </row>
    <row r="10" spans="1:18" x14ac:dyDescent="0.2">
      <c r="A10" s="702" t="s">
        <v>117</v>
      </c>
      <c r="B10" s="412" t="s">
        <v>401</v>
      </c>
      <c r="C10" s="190">
        <v>2348.8000000000002</v>
      </c>
      <c r="D10" s="564"/>
      <c r="E10" s="190"/>
      <c r="F10" s="120"/>
      <c r="G10" s="130"/>
      <c r="H10" s="125">
        <f t="shared" si="0"/>
        <v>2060.3508771929828</v>
      </c>
      <c r="I10" s="694">
        <f>SUM(C10:G13)</f>
        <v>242558.2</v>
      </c>
      <c r="J10" s="67" t="s">
        <v>249</v>
      </c>
      <c r="K10" s="73"/>
      <c r="L10" s="74"/>
      <c r="M10" s="283" t="s">
        <v>400</v>
      </c>
      <c r="O10" s="227">
        <v>42251</v>
      </c>
      <c r="P10" s="293"/>
      <c r="R10" s="239"/>
    </row>
    <row r="11" spans="1:18" x14ac:dyDescent="0.2">
      <c r="A11" s="704"/>
      <c r="B11" s="411" t="s">
        <v>402</v>
      </c>
      <c r="C11" s="398"/>
      <c r="D11" s="205">
        <v>11799</v>
      </c>
      <c r="E11" s="391"/>
      <c r="F11" s="216"/>
      <c r="G11" s="410"/>
      <c r="H11" s="125">
        <f t="shared" si="0"/>
        <v>10350</v>
      </c>
      <c r="I11" s="695"/>
      <c r="J11" s="67" t="s">
        <v>159</v>
      </c>
      <c r="K11" s="73"/>
      <c r="L11" s="74"/>
      <c r="M11" s="283" t="s">
        <v>115</v>
      </c>
      <c r="O11" s="227" t="s">
        <v>116</v>
      </c>
      <c r="P11" s="293"/>
      <c r="R11" s="239"/>
    </row>
    <row r="12" spans="1:18" x14ac:dyDescent="0.2">
      <c r="A12" s="704"/>
      <c r="B12" s="412" t="s">
        <v>403</v>
      </c>
      <c r="C12" s="191"/>
      <c r="D12" s="168">
        <v>14090.4</v>
      </c>
      <c r="E12" s="190"/>
      <c r="F12" s="120"/>
      <c r="G12" s="130"/>
      <c r="H12" s="125">
        <f t="shared" si="0"/>
        <v>12360</v>
      </c>
      <c r="I12" s="695"/>
      <c r="J12" s="67" t="s">
        <v>120</v>
      </c>
      <c r="K12" s="73"/>
      <c r="L12" s="74"/>
      <c r="M12" s="283" t="s">
        <v>115</v>
      </c>
      <c r="O12" s="227" t="s">
        <v>116</v>
      </c>
      <c r="P12" s="293"/>
      <c r="R12" s="239"/>
    </row>
    <row r="13" spans="1:18" x14ac:dyDescent="0.2">
      <c r="A13" s="703"/>
      <c r="B13" s="200" t="s">
        <v>404</v>
      </c>
      <c r="C13" s="340"/>
      <c r="D13" s="182"/>
      <c r="E13" s="213">
        <v>214320</v>
      </c>
      <c r="F13" s="118"/>
      <c r="G13" s="377"/>
      <c r="H13" s="125">
        <f t="shared" si="0"/>
        <v>188000.00000000003</v>
      </c>
      <c r="I13" s="696"/>
      <c r="J13" s="67" t="s">
        <v>315</v>
      </c>
      <c r="K13" s="73"/>
      <c r="L13" s="74"/>
      <c r="M13" s="283" t="s">
        <v>149</v>
      </c>
      <c r="O13" s="227">
        <v>42255</v>
      </c>
      <c r="P13" s="293"/>
      <c r="R13" s="239"/>
    </row>
    <row r="14" spans="1:18" x14ac:dyDescent="0.2">
      <c r="A14" s="764" t="s">
        <v>187</v>
      </c>
      <c r="B14" s="446" t="s">
        <v>405</v>
      </c>
      <c r="C14" s="191"/>
      <c r="D14" s="168"/>
      <c r="E14" s="190">
        <v>10260</v>
      </c>
      <c r="F14" s="120"/>
      <c r="G14" s="130"/>
      <c r="H14" s="125">
        <f t="shared" si="0"/>
        <v>9000</v>
      </c>
      <c r="I14" s="694">
        <f>SUM(C14:G18)</f>
        <v>44574</v>
      </c>
      <c r="J14" s="67" t="s">
        <v>409</v>
      </c>
      <c r="K14" s="73"/>
      <c r="L14" s="74"/>
      <c r="M14" s="283" t="s">
        <v>149</v>
      </c>
      <c r="O14" s="227">
        <v>42268</v>
      </c>
      <c r="P14" s="293"/>
      <c r="R14" s="239"/>
    </row>
    <row r="15" spans="1:18" x14ac:dyDescent="0.2">
      <c r="A15" s="765"/>
      <c r="B15" s="446" t="s">
        <v>406</v>
      </c>
      <c r="C15" s="340"/>
      <c r="D15" s="182"/>
      <c r="E15" s="213">
        <v>19152</v>
      </c>
      <c r="F15" s="118"/>
      <c r="G15" s="377"/>
      <c r="H15" s="125">
        <f t="shared" si="0"/>
        <v>16800</v>
      </c>
      <c r="I15" s="695"/>
      <c r="J15" s="67" t="s">
        <v>410</v>
      </c>
      <c r="K15" s="73"/>
      <c r="L15" s="74"/>
      <c r="M15" s="283" t="s">
        <v>149</v>
      </c>
      <c r="O15" s="227">
        <v>42261</v>
      </c>
      <c r="P15" s="293"/>
      <c r="R15" s="239"/>
    </row>
    <row r="16" spans="1:18" x14ac:dyDescent="0.2">
      <c r="A16" s="765"/>
      <c r="B16" s="446" t="s">
        <v>407</v>
      </c>
      <c r="C16" s="191"/>
      <c r="D16" s="168"/>
      <c r="E16" s="190">
        <v>2736</v>
      </c>
      <c r="F16" s="120"/>
      <c r="G16" s="130"/>
      <c r="H16" s="125">
        <f t="shared" si="0"/>
        <v>2400</v>
      </c>
      <c r="I16" s="695"/>
      <c r="J16" s="67" t="s">
        <v>411</v>
      </c>
      <c r="K16" s="73"/>
      <c r="L16" s="74"/>
      <c r="M16" s="283" t="s">
        <v>400</v>
      </c>
      <c r="O16" s="227">
        <v>42335</v>
      </c>
      <c r="P16" s="293"/>
      <c r="R16" s="239"/>
    </row>
    <row r="17" spans="1:18" x14ac:dyDescent="0.2">
      <c r="A17" s="765"/>
      <c r="B17" s="446" t="s">
        <v>408</v>
      </c>
      <c r="C17" s="340"/>
      <c r="D17" s="182"/>
      <c r="E17" s="190">
        <v>2736</v>
      </c>
      <c r="F17" s="118"/>
      <c r="G17" s="377"/>
      <c r="H17" s="125">
        <f t="shared" si="0"/>
        <v>2400</v>
      </c>
      <c r="I17" s="695"/>
      <c r="J17" s="67" t="s">
        <v>412</v>
      </c>
      <c r="K17" s="73"/>
      <c r="L17" s="74"/>
      <c r="M17" s="283" t="s">
        <v>400</v>
      </c>
      <c r="O17" s="227">
        <v>42263</v>
      </c>
      <c r="P17" s="293"/>
      <c r="R17" s="239"/>
    </row>
    <row r="18" spans="1:18" x14ac:dyDescent="0.2">
      <c r="A18" s="766"/>
      <c r="B18" s="200" t="s">
        <v>413</v>
      </c>
      <c r="C18" s="340"/>
      <c r="D18" s="182">
        <v>9690</v>
      </c>
      <c r="E18" s="117"/>
      <c r="F18" s="118"/>
      <c r="G18" s="377"/>
      <c r="H18" s="125">
        <f t="shared" si="0"/>
        <v>8500</v>
      </c>
      <c r="I18" s="696"/>
      <c r="J18" s="67" t="s">
        <v>372</v>
      </c>
      <c r="K18" s="73"/>
      <c r="L18" s="74"/>
      <c r="M18" s="283" t="s">
        <v>115</v>
      </c>
      <c r="O18" s="227" t="s">
        <v>116</v>
      </c>
      <c r="P18" s="293"/>
      <c r="R18" s="239"/>
    </row>
    <row r="19" spans="1:18" x14ac:dyDescent="0.2">
      <c r="A19" s="702" t="s">
        <v>127</v>
      </c>
      <c r="B19" s="412" t="s">
        <v>414</v>
      </c>
      <c r="C19" s="191"/>
      <c r="D19" s="168"/>
      <c r="E19" s="190">
        <v>20520</v>
      </c>
      <c r="F19" s="120"/>
      <c r="G19" s="130"/>
      <c r="H19" s="125">
        <f t="shared" si="0"/>
        <v>18000</v>
      </c>
      <c r="I19" s="694">
        <f>SUM(C19:G21)</f>
        <v>29594.400000000001</v>
      </c>
      <c r="J19" s="67" t="s">
        <v>179</v>
      </c>
      <c r="K19" s="73"/>
      <c r="L19" s="74"/>
      <c r="M19" s="283" t="s">
        <v>400</v>
      </c>
      <c r="O19" s="227">
        <v>42269</v>
      </c>
      <c r="P19" s="293"/>
      <c r="R19" s="239"/>
    </row>
    <row r="20" spans="1:18" x14ac:dyDescent="0.2">
      <c r="A20" s="704"/>
      <c r="B20" s="200" t="s">
        <v>415</v>
      </c>
      <c r="C20" s="213">
        <v>2576.4</v>
      </c>
      <c r="D20" s="182"/>
      <c r="E20" s="117"/>
      <c r="F20" s="118"/>
      <c r="G20" s="377"/>
      <c r="H20" s="125">
        <f t="shared" si="0"/>
        <v>2260.0000000000005</v>
      </c>
      <c r="I20" s="695"/>
      <c r="J20" s="67" t="s">
        <v>135</v>
      </c>
      <c r="K20" s="73"/>
      <c r="L20" s="74"/>
      <c r="M20" s="283" t="s">
        <v>149</v>
      </c>
      <c r="O20" s="227">
        <v>42256</v>
      </c>
      <c r="P20" s="293"/>
      <c r="R20" s="239"/>
    </row>
    <row r="21" spans="1:18" x14ac:dyDescent="0.2">
      <c r="A21" s="703"/>
      <c r="B21" s="412" t="s">
        <v>416</v>
      </c>
      <c r="C21" s="190">
        <v>6498</v>
      </c>
      <c r="D21" s="168"/>
      <c r="E21" s="119"/>
      <c r="F21" s="120"/>
      <c r="G21" s="130"/>
      <c r="H21" s="125">
        <f t="shared" si="0"/>
        <v>5700.0000000000009</v>
      </c>
      <c r="I21" s="696"/>
      <c r="J21" s="67" t="s">
        <v>281</v>
      </c>
      <c r="K21" s="73"/>
      <c r="L21" s="74"/>
      <c r="M21" s="283" t="s">
        <v>149</v>
      </c>
      <c r="O21" s="227">
        <v>42304</v>
      </c>
      <c r="P21" s="293"/>
      <c r="R21" s="239"/>
    </row>
    <row r="22" spans="1:18" x14ac:dyDescent="0.2">
      <c r="A22" s="702" t="s">
        <v>139</v>
      </c>
      <c r="B22" s="200" t="s">
        <v>417</v>
      </c>
      <c r="C22" s="340"/>
      <c r="D22" s="182"/>
      <c r="E22" s="340">
        <v>0</v>
      </c>
      <c r="F22" s="118"/>
      <c r="G22" s="377"/>
      <c r="H22" s="125">
        <f t="shared" si="0"/>
        <v>0</v>
      </c>
      <c r="I22" s="694">
        <f>SUM(C22:G26)</f>
        <v>36594</v>
      </c>
      <c r="J22" s="67" t="s">
        <v>426</v>
      </c>
      <c r="K22" s="73"/>
      <c r="L22" s="74"/>
      <c r="M22" s="283" t="s">
        <v>485</v>
      </c>
      <c r="O22" s="227" t="s">
        <v>116</v>
      </c>
      <c r="P22" s="293"/>
      <c r="Q22" s="226"/>
      <c r="R22" s="239"/>
    </row>
    <row r="23" spans="1:18" x14ac:dyDescent="0.2">
      <c r="A23" s="704"/>
      <c r="B23" s="200" t="s">
        <v>419</v>
      </c>
      <c r="C23" s="191"/>
      <c r="D23" s="168"/>
      <c r="E23" s="190">
        <v>6840</v>
      </c>
      <c r="F23" s="120"/>
      <c r="G23" s="130"/>
      <c r="H23" s="125">
        <f t="shared" si="0"/>
        <v>6000.0000000000009</v>
      </c>
      <c r="I23" s="695"/>
      <c r="J23" s="67" t="s">
        <v>425</v>
      </c>
      <c r="K23" s="73"/>
      <c r="L23" s="74"/>
      <c r="M23" s="283" t="s">
        <v>149</v>
      </c>
      <c r="O23" s="227">
        <v>42355</v>
      </c>
      <c r="P23" s="293" t="s">
        <v>633</v>
      </c>
      <c r="R23" s="239"/>
    </row>
    <row r="24" spans="1:18" x14ac:dyDescent="0.2">
      <c r="A24" s="704"/>
      <c r="B24" s="200" t="s">
        <v>420</v>
      </c>
      <c r="C24" s="340"/>
      <c r="D24" s="182"/>
      <c r="E24" s="213">
        <v>5472</v>
      </c>
      <c r="F24" s="118"/>
      <c r="G24" s="377"/>
      <c r="H24" s="125">
        <f t="shared" si="0"/>
        <v>4800</v>
      </c>
      <c r="I24" s="695"/>
      <c r="J24" s="67" t="s">
        <v>424</v>
      </c>
      <c r="K24" s="73"/>
      <c r="L24" s="74"/>
      <c r="M24" s="283" t="s">
        <v>400</v>
      </c>
      <c r="O24" s="227">
        <v>42278</v>
      </c>
      <c r="P24" s="293"/>
      <c r="R24" s="239"/>
    </row>
    <row r="25" spans="1:18" x14ac:dyDescent="0.2">
      <c r="A25" s="704"/>
      <c r="B25" s="200" t="s">
        <v>421</v>
      </c>
      <c r="C25" s="340"/>
      <c r="D25" s="182"/>
      <c r="E25" s="213">
        <v>4104</v>
      </c>
      <c r="F25" s="118"/>
      <c r="G25" s="377"/>
      <c r="H25" s="125">
        <f t="shared" si="0"/>
        <v>3600.0000000000005</v>
      </c>
      <c r="I25" s="695"/>
      <c r="J25" s="67" t="s">
        <v>423</v>
      </c>
      <c r="K25" s="73"/>
      <c r="L25" s="74"/>
      <c r="M25" s="283" t="s">
        <v>149</v>
      </c>
      <c r="O25" s="227">
        <v>42270</v>
      </c>
      <c r="P25" s="293"/>
      <c r="R25" s="239"/>
    </row>
    <row r="26" spans="1:18" x14ac:dyDescent="0.2">
      <c r="A26" s="703"/>
      <c r="B26" s="200" t="s">
        <v>418</v>
      </c>
      <c r="C26" s="191"/>
      <c r="D26" s="168"/>
      <c r="E26" s="119"/>
      <c r="F26" s="120">
        <v>20178</v>
      </c>
      <c r="G26" s="130"/>
      <c r="H26" s="125">
        <f t="shared" si="0"/>
        <v>17700</v>
      </c>
      <c r="I26" s="696"/>
      <c r="J26" s="67" t="s">
        <v>422</v>
      </c>
      <c r="K26" s="73"/>
      <c r="L26" s="74"/>
      <c r="M26" s="283" t="s">
        <v>115</v>
      </c>
      <c r="O26" s="227" t="s">
        <v>116</v>
      </c>
      <c r="P26" s="293"/>
      <c r="R26" s="239"/>
    </row>
    <row r="27" spans="1:18" x14ac:dyDescent="0.2">
      <c r="A27" s="176" t="s">
        <v>294</v>
      </c>
      <c r="B27" s="200" t="s">
        <v>427</v>
      </c>
      <c r="C27" s="340"/>
      <c r="D27" s="182"/>
      <c r="E27" s="213">
        <v>4788</v>
      </c>
      <c r="F27" s="118"/>
      <c r="G27" s="377"/>
      <c r="H27" s="125">
        <f t="shared" si="0"/>
        <v>4200</v>
      </c>
      <c r="I27" s="357">
        <f>SUM(C27:G27)</f>
        <v>4788</v>
      </c>
      <c r="J27" s="67" t="s">
        <v>428</v>
      </c>
      <c r="K27" s="73"/>
      <c r="L27" s="74"/>
      <c r="M27" s="283" t="s">
        <v>400</v>
      </c>
      <c r="O27" s="227">
        <v>42391</v>
      </c>
      <c r="P27" s="293" t="s">
        <v>631</v>
      </c>
      <c r="Q27" s="226">
        <f>E27+'OCTOBER ''15'!E44</f>
        <v>7524</v>
      </c>
      <c r="R27" s="239"/>
    </row>
    <row r="28" spans="1:18" x14ac:dyDescent="0.2">
      <c r="A28" s="702" t="s">
        <v>195</v>
      </c>
      <c r="B28" s="200" t="s">
        <v>429</v>
      </c>
      <c r="C28" s="213">
        <v>21888</v>
      </c>
      <c r="D28" s="182"/>
      <c r="E28" s="117"/>
      <c r="F28" s="118"/>
      <c r="G28" s="377"/>
      <c r="H28" s="125">
        <f t="shared" si="0"/>
        <v>19200</v>
      </c>
      <c r="I28" s="694">
        <f>SUM(C28:G29)</f>
        <v>29332.2</v>
      </c>
      <c r="J28" s="67" t="s">
        <v>137</v>
      </c>
      <c r="K28" s="73"/>
      <c r="L28" s="74"/>
      <c r="M28" s="283" t="s">
        <v>400</v>
      </c>
      <c r="O28" s="227">
        <v>42263</v>
      </c>
      <c r="P28" s="293"/>
      <c r="R28" s="239"/>
    </row>
    <row r="29" spans="1:18" x14ac:dyDescent="0.2">
      <c r="A29" s="703"/>
      <c r="B29" s="200" t="s">
        <v>430</v>
      </c>
      <c r="C29" s="340"/>
      <c r="D29" s="182">
        <v>7444.2</v>
      </c>
      <c r="E29" s="117"/>
      <c r="F29" s="118"/>
      <c r="G29" s="377"/>
      <c r="H29" s="125">
        <f t="shared" si="0"/>
        <v>6530</v>
      </c>
      <c r="I29" s="696"/>
      <c r="J29" s="67" t="s">
        <v>114</v>
      </c>
      <c r="K29" s="73"/>
      <c r="L29" s="74"/>
      <c r="M29" s="283" t="s">
        <v>115</v>
      </c>
      <c r="O29" s="227" t="s">
        <v>116</v>
      </c>
      <c r="P29" s="293"/>
      <c r="R29" s="239"/>
    </row>
    <row r="30" spans="1:18" x14ac:dyDescent="0.2">
      <c r="A30" s="702" t="s">
        <v>206</v>
      </c>
      <c r="B30" s="200" t="s">
        <v>432</v>
      </c>
      <c r="C30" s="340"/>
      <c r="D30" s="182"/>
      <c r="E30" s="117"/>
      <c r="F30" s="118">
        <v>2736</v>
      </c>
      <c r="G30" s="377"/>
      <c r="H30" s="125">
        <f t="shared" si="0"/>
        <v>2400</v>
      </c>
      <c r="I30" s="694">
        <f>SUM(C30:G31)</f>
        <v>14193</v>
      </c>
      <c r="J30" s="67" t="s">
        <v>394</v>
      </c>
      <c r="K30" s="73"/>
      <c r="L30" s="74"/>
      <c r="M30" s="283" t="s">
        <v>115</v>
      </c>
      <c r="O30" s="227" t="s">
        <v>116</v>
      </c>
      <c r="P30" s="293"/>
      <c r="R30" s="239"/>
    </row>
    <row r="31" spans="1:18" x14ac:dyDescent="0.2">
      <c r="A31" s="703"/>
      <c r="B31" s="200" t="s">
        <v>433</v>
      </c>
      <c r="C31" s="340"/>
      <c r="D31" s="182"/>
      <c r="E31" s="213">
        <v>11457</v>
      </c>
      <c r="F31" s="118"/>
      <c r="G31" s="377"/>
      <c r="H31" s="125">
        <f t="shared" si="0"/>
        <v>10050</v>
      </c>
      <c r="I31" s="696"/>
      <c r="J31" s="67" t="s">
        <v>423</v>
      </c>
      <c r="K31" s="73"/>
      <c r="L31" s="74"/>
      <c r="M31" s="283" t="s">
        <v>149</v>
      </c>
      <c r="O31" s="227">
        <v>42270</v>
      </c>
      <c r="P31" s="293"/>
      <c r="R31" s="239"/>
    </row>
    <row r="32" spans="1:18" x14ac:dyDescent="0.2">
      <c r="A32" s="142" t="s">
        <v>434</v>
      </c>
      <c r="B32" s="200" t="s">
        <v>435</v>
      </c>
      <c r="C32" s="340"/>
      <c r="D32" s="182"/>
      <c r="E32" s="213">
        <v>19665</v>
      </c>
      <c r="F32" s="118"/>
      <c r="G32" s="377"/>
      <c r="H32" s="125">
        <f t="shared" si="0"/>
        <v>17250</v>
      </c>
      <c r="I32" s="577">
        <f>SUM(C32:G32)</f>
        <v>19665</v>
      </c>
      <c r="J32" s="67" t="s">
        <v>179</v>
      </c>
      <c r="K32" s="73"/>
      <c r="L32" s="74"/>
      <c r="M32" s="283" t="s">
        <v>400</v>
      </c>
      <c r="O32" s="227">
        <v>42269</v>
      </c>
      <c r="P32" s="293"/>
      <c r="R32" s="239"/>
    </row>
    <row r="33" spans="1:18" x14ac:dyDescent="0.2">
      <c r="A33" s="702" t="s">
        <v>164</v>
      </c>
      <c r="B33" s="200" t="s">
        <v>436</v>
      </c>
      <c r="C33" s="340"/>
      <c r="D33" s="182">
        <v>11240.4</v>
      </c>
      <c r="E33" s="117"/>
      <c r="F33" s="118"/>
      <c r="G33" s="377"/>
      <c r="H33" s="125">
        <f t="shared" si="0"/>
        <v>9860</v>
      </c>
      <c r="I33" s="694">
        <f>SUM(C33:G37)</f>
        <v>113690.4</v>
      </c>
      <c r="J33" s="67" t="s">
        <v>273</v>
      </c>
      <c r="K33" s="73"/>
      <c r="L33" s="74"/>
      <c r="M33" s="283" t="s">
        <v>115</v>
      </c>
      <c r="O33" s="227" t="s">
        <v>116</v>
      </c>
      <c r="P33" s="293"/>
      <c r="R33" s="239"/>
    </row>
    <row r="34" spans="1:18" x14ac:dyDescent="0.2">
      <c r="A34" s="704"/>
      <c r="B34" s="200" t="s">
        <v>437</v>
      </c>
      <c r="C34" s="340"/>
      <c r="D34" s="182">
        <v>11800</v>
      </c>
      <c r="E34" s="117"/>
      <c r="F34" s="118"/>
      <c r="G34" s="377"/>
      <c r="H34" s="125">
        <f t="shared" si="0"/>
        <v>10350.877192982458</v>
      </c>
      <c r="I34" s="695"/>
      <c r="J34" s="67" t="s">
        <v>130</v>
      </c>
      <c r="K34" s="73"/>
      <c r="L34" s="74"/>
      <c r="M34" s="283" t="s">
        <v>115</v>
      </c>
      <c r="O34" s="227" t="s">
        <v>116</v>
      </c>
      <c r="P34" s="293"/>
      <c r="R34" s="239"/>
    </row>
    <row r="35" spans="1:18" x14ac:dyDescent="0.2">
      <c r="A35" s="704"/>
      <c r="B35" s="200" t="s">
        <v>438</v>
      </c>
      <c r="C35" s="340"/>
      <c r="D35" s="182">
        <v>56050</v>
      </c>
      <c r="E35" s="117"/>
      <c r="F35" s="118"/>
      <c r="G35" s="377"/>
      <c r="H35" s="125">
        <f t="shared" si="0"/>
        <v>49166.666666666672</v>
      </c>
      <c r="I35" s="695"/>
      <c r="J35" s="67" t="s">
        <v>130</v>
      </c>
      <c r="K35" s="73"/>
      <c r="L35" s="74"/>
      <c r="M35" s="283" t="s">
        <v>115</v>
      </c>
      <c r="O35" s="227" t="s">
        <v>116</v>
      </c>
      <c r="P35" s="293"/>
      <c r="R35" s="239"/>
    </row>
    <row r="36" spans="1:18" x14ac:dyDescent="0.2">
      <c r="A36" s="704"/>
      <c r="B36" s="200" t="s">
        <v>439</v>
      </c>
      <c r="C36" s="340"/>
      <c r="D36" s="182">
        <v>21000</v>
      </c>
      <c r="E36" s="117"/>
      <c r="F36" s="118"/>
      <c r="G36" s="377"/>
      <c r="H36" s="125">
        <f t="shared" si="0"/>
        <v>18421.05263157895</v>
      </c>
      <c r="I36" s="695"/>
      <c r="J36" s="67" t="s">
        <v>130</v>
      </c>
      <c r="K36" s="73"/>
      <c r="L36" s="74"/>
      <c r="M36" s="283" t="s">
        <v>115</v>
      </c>
      <c r="O36" s="227" t="s">
        <v>116</v>
      </c>
      <c r="P36" s="293"/>
      <c r="R36" s="239"/>
    </row>
    <row r="37" spans="1:18" x14ac:dyDescent="0.2">
      <c r="A37" s="703"/>
      <c r="B37" s="200" t="s">
        <v>443</v>
      </c>
      <c r="C37" s="340"/>
      <c r="D37" s="182">
        <v>13600</v>
      </c>
      <c r="E37" s="117"/>
      <c r="F37" s="118"/>
      <c r="G37" s="377"/>
      <c r="H37" s="125">
        <f t="shared" si="0"/>
        <v>11929.82456140351</v>
      </c>
      <c r="I37" s="696"/>
      <c r="J37" s="67" t="s">
        <v>130</v>
      </c>
      <c r="K37" s="73"/>
      <c r="L37" s="74"/>
      <c r="M37" s="283" t="s">
        <v>115</v>
      </c>
      <c r="O37" s="227" t="s">
        <v>116</v>
      </c>
      <c r="P37" s="293"/>
      <c r="R37" s="239"/>
    </row>
    <row r="38" spans="1:18" x14ac:dyDescent="0.2">
      <c r="A38" s="567" t="s">
        <v>215</v>
      </c>
      <c r="B38" s="200" t="s">
        <v>442</v>
      </c>
      <c r="C38" s="340"/>
      <c r="D38" s="182"/>
      <c r="E38" s="213">
        <v>285</v>
      </c>
      <c r="F38" s="118"/>
      <c r="G38" s="377"/>
      <c r="H38" s="125">
        <f t="shared" si="0"/>
        <v>250.00000000000003</v>
      </c>
      <c r="I38" s="578">
        <f>SUM(C38:G38)</f>
        <v>285</v>
      </c>
      <c r="J38" s="67" t="s">
        <v>441</v>
      </c>
      <c r="K38" s="73"/>
      <c r="L38" s="74"/>
      <c r="M38" s="283" t="s">
        <v>149</v>
      </c>
      <c r="O38" s="227">
        <v>42340</v>
      </c>
      <c r="P38" s="293" t="s">
        <v>631</v>
      </c>
      <c r="R38" s="239"/>
    </row>
    <row r="39" spans="1:18" x14ac:dyDescent="0.2">
      <c r="A39" s="702" t="s">
        <v>339</v>
      </c>
      <c r="B39" s="200" t="s">
        <v>445</v>
      </c>
      <c r="C39" s="340"/>
      <c r="D39" s="182"/>
      <c r="E39" s="213">
        <v>9177</v>
      </c>
      <c r="F39" s="118"/>
      <c r="G39" s="377"/>
      <c r="H39" s="125">
        <f t="shared" si="0"/>
        <v>8050.0000000000009</v>
      </c>
      <c r="I39" s="694">
        <f>SUM(C39:G40)</f>
        <v>10545</v>
      </c>
      <c r="J39" s="67" t="s">
        <v>446</v>
      </c>
      <c r="K39" s="73"/>
      <c r="L39" s="74"/>
      <c r="M39" s="283" t="s">
        <v>149</v>
      </c>
      <c r="O39" s="227">
        <v>42282</v>
      </c>
      <c r="P39" s="293"/>
      <c r="Q39" s="226">
        <f>E39+E43</f>
        <v>11229</v>
      </c>
      <c r="R39" s="239"/>
    </row>
    <row r="40" spans="1:18" x14ac:dyDescent="0.2">
      <c r="A40" s="703"/>
      <c r="B40" s="200" t="s">
        <v>447</v>
      </c>
      <c r="C40" s="340"/>
      <c r="D40" s="182"/>
      <c r="E40" s="213">
        <v>1368</v>
      </c>
      <c r="F40" s="118"/>
      <c r="G40" s="377"/>
      <c r="H40" s="125">
        <f t="shared" si="0"/>
        <v>1200</v>
      </c>
      <c r="I40" s="696"/>
      <c r="J40" s="67" t="s">
        <v>448</v>
      </c>
      <c r="K40" s="73"/>
      <c r="L40" s="74"/>
      <c r="M40" s="283" t="s">
        <v>149</v>
      </c>
      <c r="O40" s="227">
        <v>42279</v>
      </c>
      <c r="P40" s="293"/>
      <c r="R40" s="239"/>
    </row>
    <row r="41" spans="1:18" x14ac:dyDescent="0.2">
      <c r="A41" s="702" t="s">
        <v>182</v>
      </c>
      <c r="B41" s="200" t="s">
        <v>449</v>
      </c>
      <c r="C41" s="340"/>
      <c r="D41" s="182"/>
      <c r="E41" s="213">
        <v>2736</v>
      </c>
      <c r="F41" s="118"/>
      <c r="G41" s="377"/>
      <c r="H41" s="125">
        <f t="shared" si="0"/>
        <v>2400</v>
      </c>
      <c r="I41" s="694">
        <f>SUM(C41:G47)</f>
        <v>-4605.6000000000013</v>
      </c>
      <c r="J41" s="67" t="s">
        <v>451</v>
      </c>
      <c r="K41" s="73"/>
      <c r="L41" s="74"/>
      <c r="M41" s="283" t="s">
        <v>149</v>
      </c>
      <c r="O41" s="227">
        <v>42278</v>
      </c>
      <c r="P41" s="293"/>
      <c r="R41" s="239"/>
    </row>
    <row r="42" spans="1:18" x14ac:dyDescent="0.2">
      <c r="A42" s="704"/>
      <c r="B42" s="200" t="s">
        <v>450</v>
      </c>
      <c r="C42" s="340"/>
      <c r="D42" s="182"/>
      <c r="E42" s="213">
        <v>5814</v>
      </c>
      <c r="F42" s="118"/>
      <c r="G42" s="377"/>
      <c r="H42" s="125">
        <f t="shared" si="0"/>
        <v>5100</v>
      </c>
      <c r="I42" s="695"/>
      <c r="J42" s="67" t="s">
        <v>374</v>
      </c>
      <c r="K42" s="73"/>
      <c r="L42" s="74"/>
      <c r="M42" s="283" t="s">
        <v>149</v>
      </c>
      <c r="O42" s="227">
        <v>42278</v>
      </c>
      <c r="P42" s="293"/>
      <c r="R42" s="239"/>
    </row>
    <row r="43" spans="1:18" x14ac:dyDescent="0.2">
      <c r="A43" s="704"/>
      <c r="B43" s="200" t="s">
        <v>452</v>
      </c>
      <c r="C43" s="340"/>
      <c r="D43" s="182"/>
      <c r="E43" s="213">
        <v>2052</v>
      </c>
      <c r="F43" s="118"/>
      <c r="G43" s="377"/>
      <c r="H43" s="125">
        <f t="shared" si="0"/>
        <v>1800.0000000000002</v>
      </c>
      <c r="I43" s="695"/>
      <c r="J43" s="67" t="s">
        <v>446</v>
      </c>
      <c r="K43" s="73"/>
      <c r="L43" s="74"/>
      <c r="M43" s="283" t="s">
        <v>149</v>
      </c>
      <c r="O43" s="227">
        <v>42282</v>
      </c>
      <c r="P43" s="574">
        <f>E43+E39</f>
        <v>11229</v>
      </c>
      <c r="R43" s="239"/>
    </row>
    <row r="44" spans="1:18" x14ac:dyDescent="0.2">
      <c r="A44" s="704"/>
      <c r="B44" s="200" t="s">
        <v>453</v>
      </c>
      <c r="C44" s="340"/>
      <c r="D44" s="182"/>
      <c r="E44" s="213">
        <v>2052</v>
      </c>
      <c r="F44" s="118"/>
      <c r="G44" s="377"/>
      <c r="H44" s="125">
        <f t="shared" si="0"/>
        <v>1800.0000000000002</v>
      </c>
      <c r="I44" s="695"/>
      <c r="J44" s="67" t="s">
        <v>349</v>
      </c>
      <c r="K44" s="73"/>
      <c r="L44" s="74"/>
      <c r="M44" s="283" t="s">
        <v>149</v>
      </c>
      <c r="O44" s="227">
        <v>42279</v>
      </c>
      <c r="P44" s="293"/>
      <c r="R44" s="239"/>
    </row>
    <row r="45" spans="1:18" x14ac:dyDescent="0.2">
      <c r="A45" s="704"/>
      <c r="B45" s="200" t="s">
        <v>459</v>
      </c>
      <c r="C45" s="340"/>
      <c r="D45" s="182">
        <v>-3283.2</v>
      </c>
      <c r="E45" s="340"/>
      <c r="F45" s="118"/>
      <c r="G45" s="377"/>
      <c r="H45" s="125">
        <f t="shared" si="0"/>
        <v>-2880</v>
      </c>
      <c r="I45" s="695"/>
      <c r="J45" s="67" t="s">
        <v>159</v>
      </c>
      <c r="K45" s="73"/>
      <c r="L45" s="74"/>
      <c r="M45" s="283" t="s">
        <v>115</v>
      </c>
      <c r="O45" s="227" t="s">
        <v>116</v>
      </c>
      <c r="P45" s="293"/>
      <c r="R45" s="239"/>
    </row>
    <row r="46" spans="1:18" x14ac:dyDescent="0.2">
      <c r="A46" s="704"/>
      <c r="B46" s="200" t="s">
        <v>503</v>
      </c>
      <c r="C46" s="213">
        <v>-5449.2</v>
      </c>
      <c r="D46" s="182"/>
      <c r="E46" s="340"/>
      <c r="F46" s="118"/>
      <c r="G46" s="377"/>
      <c r="H46" s="125">
        <f t="shared" si="0"/>
        <v>-4780</v>
      </c>
      <c r="I46" s="695"/>
      <c r="J46" s="67" t="s">
        <v>351</v>
      </c>
      <c r="K46" s="73"/>
      <c r="L46" s="74"/>
      <c r="M46" s="283" t="s">
        <v>456</v>
      </c>
      <c r="O46" s="227" t="s">
        <v>116</v>
      </c>
      <c r="P46" s="293"/>
      <c r="R46" s="239"/>
    </row>
    <row r="47" spans="1:18" ht="13.5" thickBot="1" x14ac:dyDescent="0.25">
      <c r="A47" s="703"/>
      <c r="B47" s="200" t="s">
        <v>457</v>
      </c>
      <c r="C47" s="213">
        <v>-8527.2000000000007</v>
      </c>
      <c r="D47" s="182"/>
      <c r="E47" s="340"/>
      <c r="F47" s="118"/>
      <c r="G47" s="377"/>
      <c r="H47" s="584">
        <f t="shared" si="0"/>
        <v>-7480.0000000000009</v>
      </c>
      <c r="I47" s="767"/>
      <c r="J47" s="67" t="s">
        <v>148</v>
      </c>
      <c r="K47" s="73"/>
      <c r="L47" s="74"/>
      <c r="M47" s="283" t="s">
        <v>456</v>
      </c>
      <c r="O47" s="227" t="s">
        <v>116</v>
      </c>
      <c r="P47" s="293"/>
      <c r="R47" s="239"/>
    </row>
    <row r="48" spans="1:18" s="13" customFormat="1" ht="14.25" thickTop="1" thickBot="1" x14ac:dyDescent="0.25">
      <c r="A48" s="705"/>
      <c r="B48" s="705"/>
      <c r="C48" s="115">
        <f t="shared" ref="C48:I48" si="1">SUM(C5:C47)</f>
        <v>40441.900000000009</v>
      </c>
      <c r="D48" s="116">
        <f t="shared" si="1"/>
        <v>158127.59999999998</v>
      </c>
      <c r="E48" s="223">
        <f t="shared" si="1"/>
        <v>345534</v>
      </c>
      <c r="F48" s="169">
        <f t="shared" si="1"/>
        <v>29754</v>
      </c>
      <c r="G48" s="126">
        <f t="shared" si="1"/>
        <v>912</v>
      </c>
      <c r="H48" s="580"/>
      <c r="I48" s="706">
        <f t="shared" si="1"/>
        <v>574769.50000000012</v>
      </c>
      <c r="J48" s="707"/>
      <c r="K48" s="707"/>
      <c r="L48" s="707"/>
      <c r="M48" s="128"/>
      <c r="N48" s="128"/>
      <c r="O48" s="424"/>
    </row>
    <row r="49" spans="1:17" s="13" customFormat="1" ht="15" customHeight="1" x14ac:dyDescent="0.2">
      <c r="A49" s="99"/>
      <c r="B49" s="146"/>
      <c r="C49" s="755">
        <f>SUM(C48:D48)</f>
        <v>198569.5</v>
      </c>
      <c r="D49" s="756"/>
      <c r="E49" s="709">
        <f>SUM(E48:F48)</f>
        <v>375288</v>
      </c>
      <c r="F49" s="710"/>
      <c r="G49" s="127">
        <f>SUM(G48)</f>
        <v>912</v>
      </c>
      <c r="H49" s="581"/>
      <c r="I49" s="706"/>
      <c r="J49" s="706"/>
      <c r="K49" s="706"/>
      <c r="L49" s="706"/>
      <c r="M49" s="128"/>
      <c r="N49" s="128"/>
      <c r="O49" s="162"/>
    </row>
    <row r="50" spans="1:17" s="13" customFormat="1" x14ac:dyDescent="0.2">
      <c r="A50" s="99"/>
      <c r="B50" s="146"/>
      <c r="C50" s="9"/>
      <c r="D50" s="9"/>
      <c r="E50" s="9"/>
      <c r="F50" s="9"/>
      <c r="G50" s="9"/>
      <c r="H50" s="9"/>
      <c r="I50" s="9"/>
      <c r="J50" s="14"/>
      <c r="N50" s="8"/>
      <c r="O50" s="8"/>
      <c r="P50" s="162"/>
    </row>
    <row r="51" spans="1:17" x14ac:dyDescent="0.2">
      <c r="J51" s="690">
        <f>SUM(C5:G33,C38:G47)</f>
        <v>472319.5</v>
      </c>
      <c r="K51" s="740"/>
    </row>
    <row r="52" spans="1:17" ht="15" x14ac:dyDescent="0.2">
      <c r="A52" s="124" t="s">
        <v>17</v>
      </c>
      <c r="J52" s="690">
        <f>SUM(C34:G37)</f>
        <v>102450</v>
      </c>
      <c r="K52" s="690"/>
      <c r="L52" s="690">
        <f>SUM(J51:K52)</f>
        <v>574769.5</v>
      </c>
      <c r="M52" s="722"/>
    </row>
    <row r="53" spans="1:17" s="161" customFormat="1" ht="7.5" customHeight="1" x14ac:dyDescent="0.2">
      <c r="A53" s="4"/>
      <c r="B53" s="143"/>
      <c r="C53" s="1"/>
      <c r="D53" s="1"/>
      <c r="E53" s="1"/>
      <c r="F53" s="1"/>
      <c r="G53" s="1"/>
      <c r="H53" s="1"/>
      <c r="I53" s="1"/>
      <c r="J53"/>
      <c r="K53"/>
      <c r="L53"/>
      <c r="M53"/>
      <c r="N53"/>
      <c r="O53"/>
      <c r="Q53"/>
    </row>
    <row r="54" spans="1:17" s="161" customFormat="1" ht="17.25" customHeight="1" thickBot="1" x14ac:dyDescent="0.25">
      <c r="A54" s="217"/>
      <c r="B54" s="218" t="s">
        <v>83</v>
      </c>
      <c r="C54" s="196"/>
      <c r="D54" s="1"/>
      <c r="E54" s="1"/>
      <c r="F54" s="1"/>
      <c r="G54" s="1"/>
      <c r="H54" s="1"/>
      <c r="I54"/>
      <c r="J54"/>
      <c r="K54"/>
      <c r="L54" s="690">
        <f>SUM('AUGUST ''15'!C5:G40)+SUM(C38:G47,C5:G33)</f>
        <v>891064.3</v>
      </c>
      <c r="M54" s="722"/>
      <c r="N54"/>
      <c r="P54"/>
    </row>
    <row r="55" spans="1:17" s="161" customFormat="1" ht="13.5" thickBot="1" x14ac:dyDescent="0.25">
      <c r="A55" s="711"/>
      <c r="B55" s="712"/>
      <c r="C55" s="452" t="s">
        <v>15</v>
      </c>
      <c r="D55" s="92" t="s">
        <v>44</v>
      </c>
      <c r="E55" s="92" t="s">
        <v>42</v>
      </c>
      <c r="F55" s="92" t="s">
        <v>72</v>
      </c>
      <c r="G55" s="92" t="s">
        <v>61</v>
      </c>
      <c r="H55" s="92"/>
      <c r="I55" s="157" t="s">
        <v>9</v>
      </c>
      <c r="J55" s="163"/>
      <c r="L55" s="690">
        <f>891063.9-L54</f>
        <v>-0.40000000002328306</v>
      </c>
      <c r="M55" s="722"/>
    </row>
    <row r="56" spans="1:17" s="161" customFormat="1" x14ac:dyDescent="0.2">
      <c r="A56" s="713" t="s">
        <v>395</v>
      </c>
      <c r="B56" s="714"/>
      <c r="C56" s="131">
        <v>4696.8</v>
      </c>
      <c r="D56" s="450"/>
      <c r="E56" s="173"/>
      <c r="F56" s="173"/>
      <c r="G56" s="173"/>
      <c r="H56" s="173"/>
      <c r="I56" s="174"/>
      <c r="J56" s="164"/>
      <c r="L56"/>
    </row>
    <row r="57" spans="1:17" s="161" customFormat="1" x14ac:dyDescent="0.2">
      <c r="A57" s="692" t="s">
        <v>402</v>
      </c>
      <c r="B57" s="701"/>
      <c r="C57" s="133"/>
      <c r="D57" s="199">
        <v>11799</v>
      </c>
      <c r="E57" s="168"/>
      <c r="F57" s="168"/>
      <c r="G57" s="168"/>
      <c r="H57" s="168"/>
      <c r="I57" s="120"/>
      <c r="J57" s="164"/>
      <c r="L57"/>
    </row>
    <row r="58" spans="1:17" s="161" customFormat="1" x14ac:dyDescent="0.2">
      <c r="A58" s="692" t="s">
        <v>403</v>
      </c>
      <c r="B58" s="701"/>
      <c r="C58" s="133"/>
      <c r="D58" s="199"/>
      <c r="E58" s="168">
        <v>14090.4</v>
      </c>
      <c r="F58" s="168"/>
      <c r="G58" s="168"/>
      <c r="H58" s="168"/>
      <c r="I58" s="120"/>
      <c r="J58" s="164"/>
      <c r="L58"/>
    </row>
    <row r="59" spans="1:17" s="161" customFormat="1" x14ac:dyDescent="0.2">
      <c r="A59" s="692" t="s">
        <v>413</v>
      </c>
      <c r="B59" s="701"/>
      <c r="C59" s="133"/>
      <c r="D59" s="199"/>
      <c r="E59" s="168"/>
      <c r="F59" s="168"/>
      <c r="G59" s="168">
        <v>9690</v>
      </c>
      <c r="H59" s="168"/>
      <c r="I59" s="120"/>
      <c r="J59" s="164"/>
      <c r="L59"/>
    </row>
    <row r="60" spans="1:17" s="161" customFormat="1" x14ac:dyDescent="0.2">
      <c r="A60" s="692" t="s">
        <v>430</v>
      </c>
      <c r="B60" s="701"/>
      <c r="C60" s="133"/>
      <c r="D60" s="199"/>
      <c r="E60" s="168"/>
      <c r="F60" s="168"/>
      <c r="G60" s="168"/>
      <c r="H60" s="168"/>
      <c r="I60" s="120">
        <v>7444.2</v>
      </c>
      <c r="J60" s="164"/>
      <c r="L60"/>
    </row>
    <row r="61" spans="1:17" x14ac:dyDescent="0.2">
      <c r="A61" s="692" t="s">
        <v>436</v>
      </c>
      <c r="B61" s="701"/>
      <c r="C61" s="380">
        <v>11240.4</v>
      </c>
      <c r="D61" s="224"/>
      <c r="E61" s="203"/>
      <c r="F61" s="135"/>
      <c r="G61" s="122"/>
      <c r="H61" s="240"/>
      <c r="I61" s="206"/>
      <c r="J61" s="164"/>
      <c r="K61" s="161"/>
      <c r="P61"/>
    </row>
    <row r="62" spans="1:17" x14ac:dyDescent="0.2">
      <c r="A62" s="692" t="s">
        <v>437</v>
      </c>
      <c r="B62" s="701"/>
      <c r="C62" s="380"/>
      <c r="D62" s="224"/>
      <c r="E62" s="203"/>
      <c r="F62" s="182">
        <v>11800</v>
      </c>
      <c r="G62" s="182"/>
      <c r="H62" s="205"/>
      <c r="I62" s="206"/>
      <c r="J62" s="164"/>
      <c r="K62" s="161"/>
      <c r="P62"/>
    </row>
    <row r="63" spans="1:17" x14ac:dyDescent="0.2">
      <c r="A63" s="692" t="s">
        <v>440</v>
      </c>
      <c r="B63" s="701"/>
      <c r="C63" s="380"/>
      <c r="D63" s="224"/>
      <c r="E63" s="203"/>
      <c r="F63" s="182">
        <v>56050</v>
      </c>
      <c r="G63" s="203"/>
      <c r="H63" s="203"/>
      <c r="I63" s="206"/>
      <c r="J63" s="164"/>
      <c r="K63" s="161"/>
      <c r="P63"/>
    </row>
    <row r="64" spans="1:17" x14ac:dyDescent="0.2">
      <c r="A64" s="692" t="s">
        <v>439</v>
      </c>
      <c r="B64" s="693"/>
      <c r="C64" s="380"/>
      <c r="D64" s="224"/>
      <c r="E64" s="203"/>
      <c r="F64" s="182">
        <v>21000</v>
      </c>
      <c r="G64" s="203"/>
      <c r="H64" s="203"/>
      <c r="I64" s="206"/>
      <c r="J64" s="164"/>
      <c r="K64" s="161"/>
      <c r="P64"/>
    </row>
    <row r="65" spans="1:16" x14ac:dyDescent="0.2">
      <c r="A65" s="692" t="s">
        <v>443</v>
      </c>
      <c r="B65" s="693"/>
      <c r="C65" s="380"/>
      <c r="D65" s="224"/>
      <c r="E65" s="203"/>
      <c r="F65" s="122">
        <v>13600</v>
      </c>
      <c r="G65" s="203"/>
      <c r="H65" s="203"/>
      <c r="I65" s="206"/>
      <c r="J65" s="164"/>
      <c r="K65" s="566"/>
      <c r="P65"/>
    </row>
    <row r="66" spans="1:16" ht="13.5" thickBot="1" x14ac:dyDescent="0.25">
      <c r="A66" s="697"/>
      <c r="B66" s="753"/>
      <c r="C66" s="154"/>
      <c r="D66" s="352"/>
      <c r="E66" s="194"/>
      <c r="F66" s="194"/>
      <c r="G66" s="194"/>
      <c r="H66" s="194"/>
      <c r="I66" s="158"/>
      <c r="J66" s="164"/>
      <c r="K66" s="161"/>
      <c r="P66"/>
    </row>
    <row r="67" spans="1:16" ht="13.5" thickBot="1" x14ac:dyDescent="0.25">
      <c r="C67" s="138">
        <f t="shared" ref="C67:I67" si="2">SUM(C56:C66)</f>
        <v>15937.2</v>
      </c>
      <c r="D67" s="139">
        <f t="shared" si="2"/>
        <v>11799</v>
      </c>
      <c r="E67" s="139">
        <f t="shared" si="2"/>
        <v>14090.4</v>
      </c>
      <c r="F67" s="139">
        <f t="shared" si="2"/>
        <v>102450</v>
      </c>
      <c r="G67" s="139">
        <f t="shared" si="2"/>
        <v>9690</v>
      </c>
      <c r="H67" s="547"/>
      <c r="I67" s="140">
        <f t="shared" si="2"/>
        <v>7444.2</v>
      </c>
      <c r="J67" s="164"/>
      <c r="K67" s="699">
        <f>SUM(C67:J67)</f>
        <v>161410.80000000002</v>
      </c>
      <c r="L67" s="700"/>
      <c r="P67"/>
    </row>
    <row r="68" spans="1:16" x14ac:dyDescent="0.2">
      <c r="F68" s="594" t="s">
        <v>222</v>
      </c>
      <c r="G68" s="594" t="s">
        <v>222</v>
      </c>
    </row>
  </sheetData>
  <mergeCells count="46">
    <mergeCell ref="J51:K51"/>
    <mergeCell ref="A55:B55"/>
    <mergeCell ref="J52:K52"/>
    <mergeCell ref="A28:A29"/>
    <mergeCell ref="I28:I29"/>
    <mergeCell ref="A30:A31"/>
    <mergeCell ref="I30:I31"/>
    <mergeCell ref="A33:A37"/>
    <mergeCell ref="I33:I37"/>
    <mergeCell ref="A39:A40"/>
    <mergeCell ref="I39:I40"/>
    <mergeCell ref="A41:A47"/>
    <mergeCell ref="I41:I47"/>
    <mergeCell ref="K67:L67"/>
    <mergeCell ref="A66:B66"/>
    <mergeCell ref="A56:B56"/>
    <mergeCell ref="A58:B58"/>
    <mergeCell ref="A59:B59"/>
    <mergeCell ref="A57:B57"/>
    <mergeCell ref="A60:B60"/>
    <mergeCell ref="A61:B61"/>
    <mergeCell ref="A62:B62"/>
    <mergeCell ref="A65:B65"/>
    <mergeCell ref="I14:I18"/>
    <mergeCell ref="A19:A21"/>
    <mergeCell ref="I19:I21"/>
    <mergeCell ref="A63:B63"/>
    <mergeCell ref="A64:B64"/>
    <mergeCell ref="A22:A26"/>
    <mergeCell ref="I22:I26"/>
    <mergeCell ref="L52:M52"/>
    <mergeCell ref="L54:M54"/>
    <mergeCell ref="L55:M55"/>
    <mergeCell ref="J4:L4"/>
    <mergeCell ref="A48:B48"/>
    <mergeCell ref="I48:L49"/>
    <mergeCell ref="C49:D49"/>
    <mergeCell ref="E49:F49"/>
    <mergeCell ref="G2:G4"/>
    <mergeCell ref="E3:F3"/>
    <mergeCell ref="C3:D3"/>
    <mergeCell ref="A5:A8"/>
    <mergeCell ref="I5:I8"/>
    <mergeCell ref="A10:A13"/>
    <mergeCell ref="I10:I13"/>
    <mergeCell ref="A14:A18"/>
  </mergeCells>
  <printOptions horizontalCentered="1"/>
  <pageMargins left="0.15748031496062992" right="0.15748031496062992" top="0.35433070866141736" bottom="0.55118110236220474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26</vt:i4>
      </vt:variant>
    </vt:vector>
  </HeadingPairs>
  <TitlesOfParts>
    <vt:vector size="42" baseType="lpstr">
      <vt:lpstr>2016</vt:lpstr>
      <vt:lpstr>PREMAC Accounts</vt:lpstr>
      <vt:lpstr>MARCH '15</vt:lpstr>
      <vt:lpstr>APRIL '15</vt:lpstr>
      <vt:lpstr>MAY '15</vt:lpstr>
      <vt:lpstr>JUNE '15</vt:lpstr>
      <vt:lpstr>JULY '15</vt:lpstr>
      <vt:lpstr>AUGUST '15</vt:lpstr>
      <vt:lpstr>SEPTEMBER '15</vt:lpstr>
      <vt:lpstr>OCTOBER '15</vt:lpstr>
      <vt:lpstr>NOVEMBER '15</vt:lpstr>
      <vt:lpstr>DECEMBER '15</vt:lpstr>
      <vt:lpstr>JANUARY '16</vt:lpstr>
      <vt:lpstr>FEBRUARY '16</vt:lpstr>
      <vt:lpstr>Monthly Accounts</vt:lpstr>
      <vt:lpstr>Monthly Cash</vt:lpstr>
      <vt:lpstr>'2016'!Print_Area</vt:lpstr>
      <vt:lpstr>'APRIL ''15'!Print_Area</vt:lpstr>
      <vt:lpstr>'AUGUST ''15'!Print_Area</vt:lpstr>
      <vt:lpstr>'DECEMBER ''15'!Print_Area</vt:lpstr>
      <vt:lpstr>'FEBRUARY ''16'!Print_Area</vt:lpstr>
      <vt:lpstr>'JANUARY ''16'!Print_Area</vt:lpstr>
      <vt:lpstr>'JULY ''15'!Print_Area</vt:lpstr>
      <vt:lpstr>'JUNE ''15'!Print_Area</vt:lpstr>
      <vt:lpstr>'MARCH ''15'!Print_Area</vt:lpstr>
      <vt:lpstr>'MAY ''15'!Print_Area</vt:lpstr>
      <vt:lpstr>'NOVEMBER ''15'!Print_Area</vt:lpstr>
      <vt:lpstr>'OCTOBER ''15'!Print_Area</vt:lpstr>
      <vt:lpstr>'PREMAC Accounts'!Print_Area</vt:lpstr>
      <vt:lpstr>'SEPTEMBER ''15'!Print_Area</vt:lpstr>
      <vt:lpstr>'APRIL ''15'!Print_Titles</vt:lpstr>
      <vt:lpstr>'AUGUST ''15'!Print_Titles</vt:lpstr>
      <vt:lpstr>'DECEMBER ''15'!Print_Titles</vt:lpstr>
      <vt:lpstr>'FEBRUARY ''16'!Print_Titles</vt:lpstr>
      <vt:lpstr>'JANUARY ''16'!Print_Titles</vt:lpstr>
      <vt:lpstr>'JULY ''15'!Print_Titles</vt:lpstr>
      <vt:lpstr>'JUNE ''15'!Print_Titles</vt:lpstr>
      <vt:lpstr>'MARCH ''15'!Print_Titles</vt:lpstr>
      <vt:lpstr>'MAY ''15'!Print_Titles</vt:lpstr>
      <vt:lpstr>'NOVEMBER ''15'!Print_Titles</vt:lpstr>
      <vt:lpstr>'OCTOBER ''15'!Print_Titles</vt:lpstr>
      <vt:lpstr>'SEPTEMBER ''15'!Print_Titles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Geldenhuys</dc:creator>
  <cp:lastModifiedBy>Nicole Geldenhuys</cp:lastModifiedBy>
  <cp:lastPrinted>2016-10-10T12:54:19Z</cp:lastPrinted>
  <dcterms:created xsi:type="dcterms:W3CDTF">2005-05-19T15:03:49Z</dcterms:created>
  <dcterms:modified xsi:type="dcterms:W3CDTF">2019-06-03T13:40:15Z</dcterms:modified>
</cp:coreProperties>
</file>