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345" windowWidth="8325" windowHeight="11700"/>
  </bookViews>
  <sheets>
    <sheet name="September '20" sheetId="5" r:id="rId1"/>
    <sheet name="August '20" sheetId="4" r:id="rId2"/>
    <sheet name="August '16" sheetId="2" r:id="rId3"/>
    <sheet name="July '16" sheetId="1" r:id="rId4"/>
  </sheets>
  <externalReferences>
    <externalReference r:id="rId5"/>
    <externalReference r:id="rId6"/>
  </externalReferences>
  <definedNames>
    <definedName name="_xlnm.Print_Area" localSheetId="1">'August ''20'!$A$1:$G$58</definedName>
    <definedName name="_xlnm.Print_Area" localSheetId="0">'September ''20'!$A$1:$H$76</definedName>
  </definedNames>
  <calcPr calcId="145621"/>
</workbook>
</file>

<file path=xl/calcChain.xml><?xml version="1.0" encoding="utf-8"?>
<calcChain xmlns="http://schemas.openxmlformats.org/spreadsheetml/2006/main">
  <c r="C73" i="5" l="1"/>
  <c r="L4" i="5"/>
  <c r="P88" i="5"/>
  <c r="P86" i="5"/>
  <c r="P82" i="5"/>
  <c r="P79" i="5"/>
  <c r="P76" i="5"/>
  <c r="P63" i="5"/>
  <c r="E58" i="5"/>
  <c r="C75" i="5" l="1"/>
  <c r="C58" i="5"/>
  <c r="L5" i="5"/>
  <c r="L12" i="5"/>
  <c r="L42" i="5"/>
  <c r="L78" i="5"/>
  <c r="P8" i="5"/>
  <c r="P57" i="5"/>
  <c r="P56" i="5"/>
  <c r="P58" i="5"/>
  <c r="P55" i="5"/>
  <c r="P54" i="5"/>
  <c r="P53" i="5"/>
  <c r="P52" i="5"/>
  <c r="P51" i="5"/>
  <c r="P59" i="5"/>
  <c r="P50" i="5" l="1"/>
  <c r="L87" i="5"/>
  <c r="C55" i="5" l="1"/>
  <c r="C53" i="5" l="1"/>
  <c r="C51" i="5"/>
  <c r="C48" i="5" s="1"/>
  <c r="E39" i="5" l="1"/>
  <c r="E8" i="5"/>
  <c r="F8" i="5" s="1"/>
  <c r="C74" i="5" s="1"/>
  <c r="C76" i="5" s="1"/>
  <c r="E13" i="5" l="1"/>
  <c r="P29" i="5"/>
  <c r="P36" i="5"/>
  <c r="P39" i="5"/>
  <c r="P41" i="5"/>
  <c r="P43" i="5"/>
  <c r="P47" i="5"/>
  <c r="P25" i="5"/>
  <c r="P23" i="5"/>
  <c r="P19" i="5"/>
  <c r="P12" i="5" l="1"/>
  <c r="P13" i="5"/>
  <c r="P17" i="5"/>
  <c r="P15" i="5" s="1"/>
  <c r="P6" i="5"/>
  <c r="P5" i="5" s="1"/>
  <c r="P4" i="5" s="1"/>
  <c r="P14" i="5"/>
  <c r="B9" i="5" l="1"/>
  <c r="F9" i="5"/>
  <c r="C56" i="4"/>
  <c r="C38" i="4"/>
  <c r="C24" i="4"/>
  <c r="F7" i="4"/>
  <c r="E7" i="4"/>
  <c r="C18" i="4"/>
  <c r="C22" i="4"/>
  <c r="I47" i="4"/>
  <c r="C13" i="4"/>
  <c r="C14" i="4"/>
  <c r="C20" i="4"/>
  <c r="C21" i="4"/>
  <c r="B10" i="5" l="1"/>
  <c r="C48" i="4"/>
  <c r="C50" i="4" l="1"/>
  <c r="C47" i="4" l="1"/>
  <c r="C46" i="4"/>
  <c r="C43" i="4"/>
  <c r="C42" i="4" l="1"/>
  <c r="C54" i="4" s="1"/>
  <c r="B36" i="4"/>
  <c r="B35" i="4"/>
  <c r="B34" i="4"/>
  <c r="C32" i="4"/>
  <c r="C31" i="4"/>
  <c r="C30" i="4"/>
  <c r="C29" i="4"/>
  <c r="B25" i="4"/>
  <c r="C17" i="4"/>
  <c r="C28" i="4" l="1"/>
  <c r="C39" i="4" s="1"/>
  <c r="C15" i="4"/>
  <c r="C23" i="4"/>
  <c r="C19" i="4"/>
  <c r="C16" i="4"/>
  <c r="C53" i="4" l="1"/>
  <c r="C40" i="4"/>
  <c r="B12" i="4"/>
  <c r="A7" i="4"/>
  <c r="G7" i="4"/>
  <c r="F8" i="4" s="1"/>
  <c r="C7" i="4"/>
  <c r="B7" i="4"/>
  <c r="C55" i="4" s="1"/>
  <c r="C58" i="4" l="1"/>
  <c r="B8" i="4"/>
  <c r="B9" i="4" s="1"/>
  <c r="E5" i="2"/>
  <c r="E55" i="2" l="1"/>
  <c r="E56" i="2" s="1"/>
  <c r="E30" i="2"/>
  <c r="E26" i="2"/>
  <c r="E15" i="2"/>
  <c r="E10" i="2"/>
  <c r="E7" i="2"/>
  <c r="J4" i="2"/>
  <c r="J5" i="2" s="1"/>
  <c r="J6" i="2" s="1"/>
  <c r="J8" i="2" s="1"/>
  <c r="E1" i="2"/>
  <c r="E21" i="2" l="1"/>
  <c r="E22" i="2" s="1"/>
  <c r="E23" i="2" s="1"/>
  <c r="E62" i="1"/>
  <c r="E63" i="1" s="1"/>
  <c r="E35" i="1" l="1"/>
  <c r="E26" i="1" l="1"/>
  <c r="J4" i="1" l="1"/>
  <c r="J5" i="1" s="1"/>
  <c r="E15" i="1" l="1"/>
  <c r="E1" i="1"/>
  <c r="E10" i="1" l="1"/>
  <c r="E7" i="1" s="1"/>
  <c r="E22" i="1" l="1"/>
  <c r="E23" i="1" s="1"/>
  <c r="E21" i="1"/>
</calcChain>
</file>

<file path=xl/sharedStrings.xml><?xml version="1.0" encoding="utf-8"?>
<sst xmlns="http://schemas.openxmlformats.org/spreadsheetml/2006/main" count="519" uniqueCount="313">
  <si>
    <t>FINANCIAL SUMMARY</t>
  </si>
  <si>
    <t>Bell Equipment</t>
  </si>
  <si>
    <t>Dosco Hydraulics</t>
  </si>
  <si>
    <t>Maloma</t>
  </si>
  <si>
    <t>Sandvik</t>
  </si>
  <si>
    <t>Vryheid Cranes</t>
  </si>
  <si>
    <t>Thembelihle</t>
  </si>
  <si>
    <t>M/E EXPECTED RECEIPTS</t>
  </si>
  <si>
    <t>M/E EXPENSES</t>
  </si>
  <si>
    <t>WAGES</t>
  </si>
  <si>
    <t>Salaries</t>
  </si>
  <si>
    <t>Robert Farrer</t>
  </si>
  <si>
    <t>1st week wages</t>
  </si>
  <si>
    <t>EXPECTED BALANCE @ 05/08/2016</t>
  </si>
  <si>
    <t>Debit Orders (ME - 10/08/2016)</t>
  </si>
  <si>
    <t>BALANCE</t>
  </si>
  <si>
    <t>High Duty Castings</t>
  </si>
  <si>
    <t>TW Profile Services</t>
  </si>
  <si>
    <t>PAID</t>
  </si>
  <si>
    <t>Plastamid - Hytrel</t>
  </si>
  <si>
    <t>R140 000 FORWARD</t>
  </si>
  <si>
    <t>+ OVERDRAFT = AVAILABLE</t>
  </si>
  <si>
    <t>- BALANCE FORWARD</t>
  </si>
  <si>
    <t>MONIES STILL OUTSTANDING</t>
  </si>
  <si>
    <t>Commerical Shearing</t>
  </si>
  <si>
    <t>DBZ Diesel Parts</t>
  </si>
  <si>
    <t>Equipment Parts</t>
  </si>
  <si>
    <t>Fullimput</t>
  </si>
  <si>
    <t>Fluid Power Automation</t>
  </si>
  <si>
    <t>Hydrapower Hydraulics</t>
  </si>
  <si>
    <t>Ingwenya Minerals</t>
  </si>
  <si>
    <t>CREDITORS TO PAY</t>
  </si>
  <si>
    <t>Delmas Municipality - Plot 58</t>
  </si>
  <si>
    <t>Delmas Municipality - 12 Smit</t>
  </si>
  <si>
    <t>Advanced Polymers</t>
  </si>
  <si>
    <t>EDM</t>
  </si>
  <si>
    <t>Euro Lubricants</t>
  </si>
  <si>
    <t>Due end July</t>
  </si>
  <si>
    <t>Long overdue</t>
  </si>
  <si>
    <t>FinePitch Surface Mount Man.</t>
  </si>
  <si>
    <t>Hydstar Engineering</t>
  </si>
  <si>
    <t>90, 60+30 days</t>
  </si>
  <si>
    <t>KPL Die Castings</t>
  </si>
  <si>
    <t>Livman Trading/Clymet</t>
  </si>
  <si>
    <t>Micron Technologies</t>
  </si>
  <si>
    <t>30 Days</t>
  </si>
  <si>
    <t>Omnia</t>
  </si>
  <si>
    <t>Seco Tools</t>
  </si>
  <si>
    <t>Spoor &amp; Fisher</t>
  </si>
  <si>
    <t>Spring Manufacturers</t>
  </si>
  <si>
    <t>Stander en Venotte</t>
  </si>
  <si>
    <t>Turbo Fasteners</t>
  </si>
  <si>
    <t>Userve Plastic Machinery</t>
  </si>
  <si>
    <r>
      <t xml:space="preserve">CURRENT BANK BALANCE </t>
    </r>
    <r>
      <rPr>
        <sz val="10"/>
        <color theme="1"/>
        <rFont val="Calibri"/>
        <family val="2"/>
        <scheme val="minor"/>
      </rPr>
      <t>(Including R140K)</t>
    </r>
  </si>
  <si>
    <t>4th Weeks Wages</t>
  </si>
  <si>
    <t>Delmas Apteek</t>
  </si>
  <si>
    <t>SALES FOR JULY</t>
  </si>
  <si>
    <t>Cash</t>
  </si>
  <si>
    <t>Accounts</t>
  </si>
  <si>
    <t>Possible sales before month end</t>
  </si>
  <si>
    <t>Selector Valves</t>
  </si>
  <si>
    <t>Joy Global</t>
  </si>
  <si>
    <t>Sandvik Jet Park</t>
  </si>
  <si>
    <t>Hytrel China</t>
  </si>
  <si>
    <t>Shut off distributor</t>
  </si>
  <si>
    <t>board China</t>
  </si>
  <si>
    <t>SALES FOR AUGUST</t>
  </si>
  <si>
    <t>Expected 4 weeks of wages</t>
  </si>
  <si>
    <t>Monthly Finance Report</t>
  </si>
  <si>
    <t>AUGUST 2020</t>
  </si>
  <si>
    <t>Monthly Sales</t>
  </si>
  <si>
    <t>Premac</t>
  </si>
  <si>
    <t>Agrigel</t>
  </si>
  <si>
    <t>Cash received</t>
  </si>
  <si>
    <t>Cash not yet received</t>
  </si>
  <si>
    <t>Total</t>
  </si>
  <si>
    <t>Expenses for the month:</t>
  </si>
  <si>
    <t>Payments</t>
  </si>
  <si>
    <t>Victor Khanye Local Muinicipality</t>
  </si>
  <si>
    <t>Consumables</t>
  </si>
  <si>
    <t>Pick n Pay</t>
  </si>
  <si>
    <t>Cost of Sales</t>
  </si>
  <si>
    <t>Plastomark</t>
  </si>
  <si>
    <t>Broadway Heat Treatment</t>
  </si>
  <si>
    <t>Metal Tool and Trade</t>
  </si>
  <si>
    <t>Impala Bolt and Nut</t>
  </si>
  <si>
    <t>Fedex</t>
  </si>
  <si>
    <t>Dr DN Hannl</t>
  </si>
  <si>
    <t>Dr JW Germishuys</t>
  </si>
  <si>
    <t>Prof vd Jagt</t>
  </si>
  <si>
    <t>Petrol</t>
  </si>
  <si>
    <t>Sasol Delmas</t>
  </si>
  <si>
    <t>AECI - ChemSystems</t>
  </si>
  <si>
    <t>Plot 58</t>
  </si>
  <si>
    <t>Livman Trading</t>
  </si>
  <si>
    <t>ACDC Boksburg</t>
  </si>
  <si>
    <t>Varco Industrial Products</t>
  </si>
  <si>
    <t>MP Glass Works</t>
  </si>
  <si>
    <t>→→</t>
  </si>
  <si>
    <t>SARS PAYE 202007</t>
  </si>
  <si>
    <t>Norman's Hardware</t>
  </si>
  <si>
    <t>Delmas Electric</t>
  </si>
  <si>
    <t>Delmas Spar</t>
  </si>
  <si>
    <t>Mnani Implements</t>
  </si>
  <si>
    <t>Accounts Payable</t>
  </si>
  <si>
    <t>Freight</t>
  </si>
  <si>
    <t>Water + Lights</t>
  </si>
  <si>
    <t>Medical</t>
  </si>
  <si>
    <t>Taxes</t>
  </si>
  <si>
    <t>Unaccounted for</t>
  </si>
  <si>
    <t>Bank balance</t>
  </si>
  <si>
    <t>Due month end</t>
  </si>
  <si>
    <t>Debit orders</t>
  </si>
  <si>
    <t>UTP Mould and Die</t>
  </si>
  <si>
    <t>Expected balance</t>
  </si>
  <si>
    <t>To be paid later</t>
  </si>
  <si>
    <t>Commercial Shearing</t>
  </si>
  <si>
    <t>Ultra Spares</t>
  </si>
  <si>
    <t>Ventserve</t>
  </si>
  <si>
    <t>Available</t>
  </si>
  <si>
    <t>Creditors to be paid</t>
  </si>
  <si>
    <t>Hydstar</t>
  </si>
  <si>
    <t>Livman</t>
  </si>
  <si>
    <t>SARS (202007 Vat)</t>
  </si>
  <si>
    <t>SARS (202008 PAYE)</t>
  </si>
  <si>
    <t>September Wages (5 weeks)</t>
  </si>
  <si>
    <t>R21,149.65 ?</t>
  </si>
  <si>
    <t>Atlas Oil</t>
  </si>
  <si>
    <t>Clicks Pharmacy</t>
  </si>
  <si>
    <t>Travel</t>
  </si>
  <si>
    <t>Voorbegin Wild Boerdery &amp; Lodge</t>
  </si>
  <si>
    <t>Jacques Duvenage</t>
  </si>
  <si>
    <t>Professional Fees</t>
  </si>
  <si>
    <t>Stander en Vennote</t>
  </si>
  <si>
    <t>Research &amp; Dev</t>
  </si>
  <si>
    <t>@ 28/08/2020</t>
  </si>
  <si>
    <t>Less medical received = actual pays</t>
  </si>
  <si>
    <t>Forecast for September 2020</t>
  </si>
  <si>
    <t>Bank balance after month end + DOs'</t>
  </si>
  <si>
    <t>Receive late paymts and cash due</t>
  </si>
  <si>
    <t>Pay Wages for September</t>
  </si>
  <si>
    <t>MONIES IN</t>
  </si>
  <si>
    <t>SEPTEMBER 2020</t>
  </si>
  <si>
    <t>Accounts Payable:</t>
  </si>
  <si>
    <t>Atlas Oil and Chemical</t>
  </si>
  <si>
    <t>Akter General</t>
  </si>
  <si>
    <t>Subway Motors</t>
  </si>
  <si>
    <t>Dr PR Engelbrecht</t>
  </si>
  <si>
    <t>Hiway Café</t>
  </si>
  <si>
    <t>Highveld Bearings</t>
  </si>
  <si>
    <t>Dr D Nolte</t>
  </si>
  <si>
    <t>Dencor Metals</t>
  </si>
  <si>
    <t>AECI Chemicals</t>
  </si>
  <si>
    <t>Nigel Auto City</t>
  </si>
  <si>
    <t>Telkom - Ouma Airtime</t>
  </si>
  <si>
    <t>Flexilube</t>
  </si>
  <si>
    <t>Leon CC Refund - Hydromobile</t>
  </si>
  <si>
    <t>Dan BB Refund - Robert Farrer</t>
  </si>
  <si>
    <t>Dan BB Refund - Jacques Duvenage</t>
  </si>
  <si>
    <t>Motor Expense: Repairs</t>
  </si>
  <si>
    <t>Delmas Midas</t>
  </si>
  <si>
    <t>Zinchem</t>
  </si>
  <si>
    <t>Hinterland Delmas</t>
  </si>
  <si>
    <t>One Stop Stationery</t>
  </si>
  <si>
    <t>Rietkol Veterinere Spreekkamer</t>
  </si>
  <si>
    <t>AHK Motor Spares</t>
  </si>
  <si>
    <t>Uniclips</t>
  </si>
  <si>
    <t>Dave's Engineering and Inserts</t>
  </si>
  <si>
    <t>Superb Packaging</t>
  </si>
  <si>
    <t>Bunyan Service Station</t>
  </si>
  <si>
    <t>Delmas Steers/Debonairs</t>
  </si>
  <si>
    <t>CJ Williams Pharmacy</t>
  </si>
  <si>
    <t>Total Primrose</t>
  </si>
  <si>
    <t>Farmers Meat Market</t>
  </si>
  <si>
    <t>Afisol</t>
  </si>
  <si>
    <t>Dr HF Pienaar</t>
  </si>
  <si>
    <t>Dr Bezuidenhout &amp; Kie</t>
  </si>
  <si>
    <t>Engen Wilgers</t>
  </si>
  <si>
    <t>Engen Potchefstroom</t>
  </si>
  <si>
    <t>Combined Sales</t>
  </si>
  <si>
    <t>Consumables:</t>
  </si>
  <si>
    <t>Cost of Sales:</t>
  </si>
  <si>
    <t>Medical Expense:</t>
  </si>
  <si>
    <t>Research &amp; development:</t>
  </si>
  <si>
    <t>Telephone:</t>
  </si>
  <si>
    <t>Water &amp; Electricity:</t>
  </si>
  <si>
    <t>Motor Expense - Petrol:</t>
  </si>
  <si>
    <t>Office Expense:</t>
  </si>
  <si>
    <t>Income for the month:</t>
  </si>
  <si>
    <t>Liberty Life</t>
  </si>
  <si>
    <t>Discovery Health</t>
  </si>
  <si>
    <t>Medshield</t>
  </si>
  <si>
    <t>Maksimum Sekuriteit</t>
  </si>
  <si>
    <t>Mutual &amp; Federal / Old Mutual</t>
  </si>
  <si>
    <t>Screamer Telecoms</t>
  </si>
  <si>
    <t>BCRP</t>
  </si>
  <si>
    <t>Momentum Life (AN Geldenhuys)</t>
  </si>
  <si>
    <t>Business Online</t>
  </si>
  <si>
    <t>Outsurance (2 x Toyota Bakkies)</t>
  </si>
  <si>
    <t>Multichoice</t>
  </si>
  <si>
    <t>Vodacom</t>
  </si>
  <si>
    <t>Unused Facility Fee</t>
  </si>
  <si>
    <t>Interest on overdraft</t>
  </si>
  <si>
    <t>Mweb</t>
  </si>
  <si>
    <t>Monthly Management Fee</t>
  </si>
  <si>
    <t>Service Fee</t>
  </si>
  <si>
    <t>Overdraft Service Fee</t>
  </si>
  <si>
    <t>Medical Aid:</t>
  </si>
  <si>
    <t>Debit Orders + monthly payments:</t>
  </si>
  <si>
    <t>Security:</t>
  </si>
  <si>
    <t>Insurances (Life):</t>
  </si>
  <si>
    <t>Insurances (Vehicle):</t>
  </si>
  <si>
    <t>Insurance (Workshop):</t>
  </si>
  <si>
    <t>Internet + domains:</t>
  </si>
  <si>
    <t>Bank fees:</t>
  </si>
  <si>
    <t>Loan Repayments:</t>
  </si>
  <si>
    <t>Credit Card</t>
  </si>
  <si>
    <t>SBSA Business Loan</t>
  </si>
  <si>
    <t>Subscriptions:</t>
  </si>
  <si>
    <t>Telephones:</t>
  </si>
  <si>
    <t>DO</t>
  </si>
  <si>
    <t>Debit Card Purchase Fee</t>
  </si>
  <si>
    <t>Honouring Fee</t>
  </si>
  <si>
    <t>Unpaid Item Fee</t>
  </si>
  <si>
    <t>Liberty Life (AN/O Geldenhuys)</t>
  </si>
  <si>
    <t>Juliana Geldenhuys</t>
  </si>
  <si>
    <t>Petro Geldenhuys (interest)</t>
  </si>
  <si>
    <t>PAY</t>
  </si>
  <si>
    <t>LB Geldenhuys (Tata Telcoline)</t>
  </si>
  <si>
    <t>DL Geldenhuys (Toyota Corolla)</t>
  </si>
  <si>
    <t>Vehicle Finance:</t>
  </si>
  <si>
    <t>Juliana Geldenhuys (Toyota 2.5)</t>
  </si>
  <si>
    <t>Wesbank Credit Card</t>
  </si>
  <si>
    <t>OFF</t>
  </si>
  <si>
    <t>Wages:</t>
  </si>
  <si>
    <t>Henry Steynberg</t>
  </si>
  <si>
    <t>Shaun Ntulo</t>
  </si>
  <si>
    <t>Theodora Ntulo</t>
  </si>
  <si>
    <t>Joseph Malala</t>
  </si>
  <si>
    <t>Madala Mnisi</t>
  </si>
  <si>
    <t>William Magoso</t>
  </si>
  <si>
    <t>Wynand Barnard</t>
  </si>
  <si>
    <t>Jacques Roodt</t>
  </si>
  <si>
    <t>Leon Geldenhuys Jnr</t>
  </si>
  <si>
    <t>Maloma Colliery</t>
  </si>
  <si>
    <t>Purest Taste</t>
  </si>
  <si>
    <t>Equipment Parts &amp; Engines</t>
  </si>
  <si>
    <t>BRCP</t>
  </si>
  <si>
    <t>Werkcorp</t>
  </si>
  <si>
    <t>JJ Planned Maintenance Serv.</t>
  </si>
  <si>
    <t>FCC Boerdery</t>
  </si>
  <si>
    <t>LP Stols</t>
  </si>
  <si>
    <t>CP Potgieter</t>
  </si>
  <si>
    <t>Peet Bezuidenhout</t>
  </si>
  <si>
    <t>Jan Boshoff</t>
  </si>
  <si>
    <t>Tracpart Mining Supplies</t>
  </si>
  <si>
    <t>HJP Boerdery</t>
  </si>
  <si>
    <t>Thembelihle Equipment</t>
  </si>
  <si>
    <t>Sonskyn Handel</t>
  </si>
  <si>
    <t>Salaries + Payments:</t>
  </si>
  <si>
    <t>LB Geldenhuys</t>
  </si>
  <si>
    <t>DL Geldenhuys</t>
  </si>
  <si>
    <t>P Geldenhuys</t>
  </si>
  <si>
    <t>FORECAST FOR OCTOBER</t>
  </si>
  <si>
    <t>RMA COIDA 2021</t>
  </si>
  <si>
    <t>Alpha Hardchrome</t>
  </si>
  <si>
    <t>Be-Sure Engineering</t>
  </si>
  <si>
    <t>VAP SA</t>
  </si>
  <si>
    <t>Shortfall total</t>
  </si>
  <si>
    <t>Telkom Mobile (665.71)</t>
  </si>
  <si>
    <t>MTN (861.00)</t>
  </si>
  <si>
    <t>NJ Bierman</t>
  </si>
  <si>
    <t>Ferobrake</t>
  </si>
  <si>
    <t>Cobus van Coller</t>
  </si>
  <si>
    <t>Discovery Health Refund</t>
  </si>
  <si>
    <t>AL Fivaz</t>
  </si>
  <si>
    <t>DH Botha</t>
  </si>
  <si>
    <t>Cloverfield</t>
  </si>
  <si>
    <t>Sandvik Mining</t>
  </si>
  <si>
    <t>Valoworx</t>
  </si>
  <si>
    <t>J Geldenhuys</t>
  </si>
  <si>
    <t>Bank balance @ 2020/10/01</t>
  </si>
  <si>
    <t>Car Insurances</t>
  </si>
  <si>
    <t>October Wages</t>
  </si>
  <si>
    <t>Dr Elize Olivier</t>
  </si>
  <si>
    <t>Manpower Labour Charts</t>
  </si>
  <si>
    <t>ACDC Express Bokbsurg</t>
  </si>
  <si>
    <t>Total Petroport</t>
  </si>
  <si>
    <t>Middelburg</t>
  </si>
  <si>
    <t>JD Hydraulics</t>
  </si>
  <si>
    <t>Farmer's Meat Market</t>
  </si>
  <si>
    <t>Fishaways Key Largo</t>
  </si>
  <si>
    <t>Tool Centre Benoni</t>
  </si>
  <si>
    <t>Hinterland</t>
  </si>
  <si>
    <t>Matrix</t>
  </si>
  <si>
    <t>Spar Vrede</t>
  </si>
  <si>
    <t>Motor Expense: Toll &amp; Parking:</t>
  </si>
  <si>
    <t>Mancamane</t>
  </si>
  <si>
    <t>Rebel Mini Market</t>
  </si>
  <si>
    <t>ACDC Express Boksburg</t>
  </si>
  <si>
    <t>Steers</t>
  </si>
  <si>
    <t>Bearing Man Group</t>
  </si>
  <si>
    <t>Victor Khanye Local Municipality</t>
  </si>
  <si>
    <t>James Smith</t>
  </si>
  <si>
    <t>Derrick Venter</t>
  </si>
  <si>
    <t>Sales for September</t>
  </si>
  <si>
    <t>Due End October</t>
  </si>
  <si>
    <t>Receive September Cash</t>
  </si>
  <si>
    <t>Due End Oct</t>
  </si>
  <si>
    <t>Hydraulic &amp; Haluage</t>
  </si>
  <si>
    <t>Multitrade Distributors</t>
  </si>
  <si>
    <t>SARS (202009 Vat)</t>
  </si>
  <si>
    <t>SARS (202009 PAYE)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</si>
</sst>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&quot;\ #,##0;[Red]&quot;R&quot;\ \-#,##0"/>
    <numFmt numFmtId="8" formatCode="&quot;R&quot;\ #,##0.00;[Red]&quot;R&quot;\ \-#,##0.00"/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[$$-C09]#,##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</font>
    <font>
      <b/>
      <i/>
      <sz val="9"/>
      <name val="Arial"/>
      <family val="2"/>
    </font>
    <font>
      <b/>
      <i/>
      <sz val="12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u/>
      <sz val="9"/>
      <color theme="1"/>
      <name val="Arial"/>
      <family val="2"/>
    </font>
    <font>
      <u val="singleAccounting"/>
      <sz val="9"/>
      <color theme="1"/>
      <name val="Arial"/>
      <family val="2"/>
    </font>
    <font>
      <sz val="9"/>
      <color rgb="FFFF0000"/>
      <name val="Arial"/>
      <family val="2"/>
    </font>
    <font>
      <i/>
      <sz val="9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b/>
      <sz val="6"/>
      <color indexed="10"/>
      <name val="Arial"/>
      <family val="2"/>
    </font>
    <font>
      <b/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1" fillId="0" borderId="0"/>
  </cellStyleXfs>
  <cellXfs count="177">
    <xf numFmtId="0" fontId="0" fillId="0" borderId="0" xfId="0"/>
    <xf numFmtId="44" fontId="4" fillId="0" borderId="0" xfId="1" applyFont="1" applyAlignment="1">
      <alignment vertical="center"/>
    </xf>
    <xf numFmtId="44" fontId="5" fillId="0" borderId="0" xfId="1" applyFont="1"/>
    <xf numFmtId="44" fontId="5" fillId="0" borderId="5" xfId="1" applyFont="1" applyBorder="1"/>
    <xf numFmtId="44" fontId="6" fillId="0" borderId="0" xfId="1" applyFont="1"/>
    <xf numFmtId="0" fontId="5" fillId="0" borderId="0" xfId="0" applyFont="1"/>
    <xf numFmtId="16" fontId="5" fillId="0" borderId="0" xfId="0" applyNumberFormat="1" applyFont="1" applyAlignment="1">
      <alignment horizontal="left"/>
    </xf>
    <xf numFmtId="16" fontId="5" fillId="0" borderId="0" xfId="0" applyNumberFormat="1" applyFont="1" applyAlignment="1"/>
    <xf numFmtId="16" fontId="5" fillId="0" borderId="0" xfId="0" applyNumberFormat="1" applyFont="1" applyAlignment="1">
      <alignment horizontal="center"/>
    </xf>
    <xf numFmtId="44" fontId="5" fillId="0" borderId="1" xfId="1" applyFont="1" applyBorder="1"/>
    <xf numFmtId="44" fontId="5" fillId="0" borderId="2" xfId="1" applyFont="1" applyBorder="1"/>
    <xf numFmtId="44" fontId="5" fillId="0" borderId="3" xfId="1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44" fontId="3" fillId="0" borderId="0" xfId="1" applyFont="1"/>
    <xf numFmtId="6" fontId="3" fillId="0" borderId="5" xfId="0" applyNumberFormat="1" applyFont="1" applyBorder="1"/>
    <xf numFmtId="44" fontId="3" fillId="0" borderId="5" xfId="1" applyFont="1" applyBorder="1" applyAlignment="1">
      <alignment horizontal="center" vertical="center"/>
    </xf>
    <xf numFmtId="44" fontId="9" fillId="0" borderId="0" xfId="1" applyFont="1"/>
    <xf numFmtId="44" fontId="3" fillId="0" borderId="4" xfId="1" applyFont="1" applyBorder="1"/>
    <xf numFmtId="44" fontId="8" fillId="0" borderId="0" xfId="1" quotePrefix="1" applyFont="1" applyAlignment="1">
      <alignment horizontal="right"/>
    </xf>
    <xf numFmtId="44" fontId="5" fillId="0" borderId="7" xfId="1" applyFont="1" applyBorder="1"/>
    <xf numFmtId="44" fontId="3" fillId="0" borderId="6" xfId="1" applyFont="1" applyBorder="1"/>
    <xf numFmtId="0" fontId="5" fillId="0" borderId="8" xfId="0" applyFont="1" applyBorder="1"/>
    <xf numFmtId="16" fontId="5" fillId="0" borderId="8" xfId="0" applyNumberFormat="1" applyFont="1" applyBorder="1" applyAlignment="1">
      <alignment horizontal="center"/>
    </xf>
    <xf numFmtId="44" fontId="5" fillId="0" borderId="8" xfId="1" applyFont="1" applyBorder="1"/>
    <xf numFmtId="0" fontId="5" fillId="0" borderId="0" xfId="0" applyFont="1" applyAlignment="1"/>
    <xf numFmtId="0" fontId="10" fillId="0" borderId="5" xfId="0" applyFont="1" applyBorder="1"/>
    <xf numFmtId="43" fontId="5" fillId="0" borderId="0" xfId="2" applyFont="1"/>
    <xf numFmtId="43" fontId="5" fillId="0" borderId="5" xfId="2" applyFont="1" applyBorder="1"/>
    <xf numFmtId="14" fontId="2" fillId="0" borderId="5" xfId="1" applyNumberFormat="1" applyFont="1" applyBorder="1" applyAlignment="1">
      <alignment horizontal="center" vertical="center"/>
    </xf>
    <xf numFmtId="44" fontId="7" fillId="0" borderId="0" xfId="1" applyFont="1"/>
    <xf numFmtId="44" fontId="5" fillId="0" borderId="0" xfId="1" applyFont="1" applyBorder="1"/>
    <xf numFmtId="0" fontId="5" fillId="0" borderId="0" xfId="0" applyFont="1" applyAlignment="1">
      <alignment horizontal="left" indent="1"/>
    </xf>
    <xf numFmtId="43" fontId="0" fillId="0" borderId="0" xfId="2" applyFont="1"/>
    <xf numFmtId="43" fontId="0" fillId="0" borderId="6" xfId="2" applyFont="1" applyBorder="1"/>
    <xf numFmtId="43" fontId="13" fillId="0" borderId="0" xfId="2" applyFont="1"/>
    <xf numFmtId="43" fontId="14" fillId="0" borderId="0" xfId="2" quotePrefix="1" applyFont="1"/>
    <xf numFmtId="43" fontId="16" fillId="0" borderId="0" xfId="2" applyFont="1"/>
    <xf numFmtId="43" fontId="11" fillId="0" borderId="11" xfId="2" applyFont="1" applyBorder="1" applyAlignment="1"/>
    <xf numFmtId="43" fontId="15" fillId="0" borderId="3" xfId="2" applyFont="1" applyBorder="1" applyAlignment="1">
      <alignment horizontal="center" vertical="center" wrapText="1"/>
    </xf>
    <xf numFmtId="43" fontId="15" fillId="0" borderId="12" xfId="2" applyFont="1" applyBorder="1" applyAlignment="1">
      <alignment horizontal="center" vertical="center" wrapText="1"/>
    </xf>
    <xf numFmtId="43" fontId="15" fillId="0" borderId="0" xfId="2" applyFont="1" applyAlignment="1">
      <alignment horizontal="center" vertical="center" wrapText="1"/>
    </xf>
    <xf numFmtId="43" fontId="0" fillId="0" borderId="9" xfId="2" applyFont="1" applyBorder="1"/>
    <xf numFmtId="43" fontId="0" fillId="0" borderId="10" xfId="2" applyFont="1" applyBorder="1"/>
    <xf numFmtId="43" fontId="0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0" fillId="0" borderId="0" xfId="2" applyFont="1" applyAlignment="1">
      <alignment horizontal="left" indent="2"/>
    </xf>
    <xf numFmtId="43" fontId="18" fillId="0" borderId="0" xfId="2" applyFont="1" applyAlignment="1">
      <alignment horizontal="center"/>
    </xf>
    <xf numFmtId="43" fontId="17" fillId="0" borderId="0" xfId="2" applyFont="1" applyBorder="1" applyAlignment="1">
      <alignment horizontal="center" vertical="center"/>
    </xf>
    <xf numFmtId="43" fontId="17" fillId="0" borderId="0" xfId="2" applyFont="1" applyBorder="1" applyAlignment="1">
      <alignment horizontal="left" vertical="center"/>
    </xf>
    <xf numFmtId="14" fontId="17" fillId="0" borderId="0" xfId="2" applyNumberFormat="1" applyFont="1" applyBorder="1" applyAlignment="1">
      <alignment horizontal="center" vertical="center"/>
    </xf>
    <xf numFmtId="43" fontId="0" fillId="0" borderId="5" xfId="2" applyFont="1" applyBorder="1"/>
    <xf numFmtId="43" fontId="0" fillId="0" borderId="0" xfId="2" applyFont="1" applyAlignment="1">
      <alignment horizontal="left"/>
    </xf>
    <xf numFmtId="43" fontId="0" fillId="0" borderId="1" xfId="2" applyFont="1" applyBorder="1"/>
    <xf numFmtId="43" fontId="0" fillId="0" borderId="2" xfId="2" applyFont="1" applyBorder="1"/>
    <xf numFmtId="43" fontId="0" fillId="0" borderId="3" xfId="2" applyFont="1" applyBorder="1"/>
    <xf numFmtId="43" fontId="12" fillId="0" borderId="0" xfId="2" applyFont="1"/>
    <xf numFmtId="43" fontId="11" fillId="0" borderId="0" xfId="2" applyFont="1"/>
    <xf numFmtId="43" fontId="11" fillId="0" borderId="6" xfId="2" applyFont="1" applyBorder="1"/>
    <xf numFmtId="43" fontId="15" fillId="0" borderId="14" xfId="2" applyFont="1" applyBorder="1" applyAlignment="1">
      <alignment horizontal="center" vertical="center" wrapText="1"/>
    </xf>
    <xf numFmtId="43" fontId="0" fillId="0" borderId="13" xfId="2" applyFont="1" applyBorder="1"/>
    <xf numFmtId="43" fontId="11" fillId="0" borderId="15" xfId="2" applyFont="1" applyBorder="1" applyAlignment="1">
      <alignment horizontal="center"/>
    </xf>
    <xf numFmtId="14" fontId="0" fillId="0" borderId="0" xfId="2" applyNumberFormat="1" applyFont="1"/>
    <xf numFmtId="8" fontId="0" fillId="0" borderId="0" xfId="2" applyNumberFormat="1" applyFont="1"/>
    <xf numFmtId="14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44" fontId="17" fillId="0" borderId="0" xfId="1" applyFont="1" applyBorder="1" applyAlignment="1">
      <alignment horizontal="left" vertical="center"/>
    </xf>
    <xf numFmtId="43" fontId="0" fillId="0" borderId="0" xfId="2" quotePrefix="1" applyFont="1"/>
    <xf numFmtId="43" fontId="0" fillId="0" borderId="16" xfId="2" applyFont="1" applyBorder="1"/>
    <xf numFmtId="43" fontId="0" fillId="0" borderId="17" xfId="2" applyFont="1" applyBorder="1"/>
    <xf numFmtId="43" fontId="0" fillId="0" borderId="18" xfId="2" applyFont="1" applyBorder="1"/>
    <xf numFmtId="43" fontId="0" fillId="0" borderId="19" xfId="2" applyFont="1" applyBorder="1"/>
    <xf numFmtId="43" fontId="0" fillId="0" borderId="12" xfId="2" applyFont="1" applyBorder="1"/>
    <xf numFmtId="43" fontId="0" fillId="0" borderId="14" xfId="2" applyFont="1" applyBorder="1"/>
    <xf numFmtId="43" fontId="19" fillId="0" borderId="0" xfId="2" applyFont="1"/>
    <xf numFmtId="43" fontId="0" fillId="0" borderId="0" xfId="2" applyFont="1" applyBorder="1"/>
    <xf numFmtId="43" fontId="20" fillId="0" borderId="0" xfId="2" applyFont="1"/>
    <xf numFmtId="14" fontId="22" fillId="0" borderId="0" xfId="0" applyNumberFormat="1" applyFont="1" applyBorder="1" applyAlignment="1">
      <alignment horizontal="left" vertical="center"/>
    </xf>
    <xf numFmtId="43" fontId="17" fillId="0" borderId="1" xfId="2" applyFont="1" applyBorder="1" applyAlignment="1">
      <alignment horizontal="center" vertical="center"/>
    </xf>
    <xf numFmtId="43" fontId="17" fillId="0" borderId="2" xfId="2" applyFont="1" applyBorder="1" applyAlignment="1">
      <alignment horizontal="left" vertical="center"/>
    </xf>
    <xf numFmtId="43" fontId="17" fillId="0" borderId="3" xfId="2" applyFont="1" applyBorder="1" applyAlignment="1">
      <alignment horizontal="left" vertical="center"/>
    </xf>
    <xf numFmtId="43" fontId="17" fillId="0" borderId="2" xfId="2" applyFont="1" applyBorder="1" applyAlignment="1">
      <alignment horizontal="center" vertical="center"/>
    </xf>
    <xf numFmtId="43" fontId="17" fillId="0" borderId="1" xfId="2" applyFont="1" applyBorder="1" applyAlignment="1">
      <alignment horizontal="left" vertical="center"/>
    </xf>
    <xf numFmtId="43" fontId="17" fillId="0" borderId="9" xfId="2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43" fontId="22" fillId="0" borderId="0" xfId="2" applyFont="1" applyBorder="1" applyAlignment="1">
      <alignment horizontal="left" vertical="center"/>
    </xf>
    <xf numFmtId="43" fontId="22" fillId="0" borderId="0" xfId="2" applyFont="1" applyBorder="1" applyAlignment="1">
      <alignment horizontal="center" vertical="center"/>
    </xf>
    <xf numFmtId="43" fontId="17" fillId="0" borderId="5" xfId="2" applyFont="1" applyBorder="1" applyAlignment="1">
      <alignment horizontal="center" vertical="center"/>
    </xf>
    <xf numFmtId="14" fontId="17" fillId="0" borderId="0" xfId="2" applyNumberFormat="1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43" fontId="11" fillId="0" borderId="11" xfId="2" applyFont="1" applyBorder="1" applyAlignment="1">
      <alignment horizontal="center"/>
    </xf>
    <xf numFmtId="43" fontId="17" fillId="0" borderId="3" xfId="2" applyFont="1" applyBorder="1" applyAlignment="1">
      <alignment horizontal="center" vertical="center"/>
    </xf>
    <xf numFmtId="43" fontId="17" fillId="0" borderId="5" xfId="2" applyFont="1" applyBorder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43" fontId="17" fillId="0" borderId="2" xfId="2" applyFont="1" applyBorder="1" applyAlignment="1">
      <alignment vertical="center"/>
    </xf>
    <xf numFmtId="43" fontId="17" fillId="0" borderId="3" xfId="2" applyFont="1" applyBorder="1" applyAlignment="1">
      <alignment vertical="center"/>
    </xf>
    <xf numFmtId="43" fontId="17" fillId="0" borderId="1" xfId="2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3" fontId="22" fillId="0" borderId="0" xfId="2" applyFont="1" applyBorder="1" applyAlignment="1">
      <alignment vertical="center"/>
    </xf>
    <xf numFmtId="43" fontId="17" fillId="0" borderId="9" xfId="2" applyFont="1" applyBorder="1" applyAlignment="1">
      <alignment vertical="center"/>
    </xf>
    <xf numFmtId="43" fontId="17" fillId="0" borderId="1" xfId="2" applyFont="1" applyFill="1" applyBorder="1" applyAlignment="1">
      <alignment vertical="center"/>
    </xf>
    <xf numFmtId="43" fontId="17" fillId="0" borderId="3" xfId="2" applyFont="1" applyFill="1" applyBorder="1" applyAlignment="1">
      <alignment vertical="center"/>
    </xf>
    <xf numFmtId="43" fontId="22" fillId="0" borderId="0" xfId="2" applyFont="1" applyFill="1" applyBorder="1" applyAlignment="1">
      <alignment vertical="center"/>
    </xf>
    <xf numFmtId="43" fontId="17" fillId="0" borderId="2" xfId="2" applyFont="1" applyFill="1" applyBorder="1" applyAlignment="1">
      <alignment vertical="center"/>
    </xf>
    <xf numFmtId="164" fontId="17" fillId="0" borderId="0" xfId="3" applyFont="1" applyBorder="1" applyAlignment="1">
      <alignment horizontal="left" vertical="center" indent="1"/>
    </xf>
    <xf numFmtId="43" fontId="17" fillId="0" borderId="0" xfId="2" applyFont="1" applyFill="1" applyBorder="1" applyAlignment="1">
      <alignment horizontal="right" vertical="center"/>
    </xf>
    <xf numFmtId="43" fontId="17" fillId="0" borderId="0" xfId="2" applyFont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17" fillId="0" borderId="0" xfId="3" applyFont="1" applyBorder="1"/>
    <xf numFmtId="43" fontId="17" fillId="0" borderId="0" xfId="2" applyFont="1" applyFill="1" applyBorder="1" applyAlignment="1">
      <alignment horizontal="right"/>
    </xf>
    <xf numFmtId="164" fontId="25" fillId="0" borderId="0" xfId="3" applyFont="1" applyBorder="1" applyAlignment="1">
      <alignment horizontal="right" indent="1"/>
    </xf>
    <xf numFmtId="43" fontId="22" fillId="0" borderId="0" xfId="2" applyFont="1" applyBorder="1"/>
    <xf numFmtId="164" fontId="22" fillId="0" borderId="0" xfId="3" applyFont="1" applyBorder="1" applyAlignment="1">
      <alignment horizontal="left" indent="1"/>
    </xf>
    <xf numFmtId="43" fontId="17" fillId="0" borderId="0" xfId="2" applyFont="1" applyBorder="1"/>
    <xf numFmtId="43" fontId="26" fillId="0" borderId="0" xfId="2" applyFont="1" applyAlignment="1">
      <alignment vertical="center"/>
    </xf>
    <xf numFmtId="43" fontId="27" fillId="0" borderId="0" xfId="2" applyFont="1" applyAlignment="1">
      <alignment vertical="center"/>
    </xf>
    <xf numFmtId="43" fontId="28" fillId="0" borderId="0" xfId="2" applyFont="1" applyAlignment="1">
      <alignment vertical="center"/>
    </xf>
    <xf numFmtId="14" fontId="29" fillId="0" borderId="0" xfId="2" applyNumberFormat="1" applyFont="1" applyAlignment="1">
      <alignment vertical="center"/>
    </xf>
    <xf numFmtId="43" fontId="28" fillId="0" borderId="0" xfId="2" applyFont="1" applyBorder="1" applyAlignment="1">
      <alignment vertical="center"/>
    </xf>
    <xf numFmtId="43" fontId="30" fillId="0" borderId="0" xfId="2" quotePrefix="1" applyFont="1" applyAlignment="1">
      <alignment vertical="center"/>
    </xf>
    <xf numFmtId="43" fontId="29" fillId="0" borderId="0" xfId="2" quotePrefix="1" applyFont="1" applyAlignment="1">
      <alignment vertical="center"/>
    </xf>
    <xf numFmtId="14" fontId="28" fillId="0" borderId="0" xfId="2" applyNumberFormat="1" applyFont="1" applyAlignment="1">
      <alignment vertical="center"/>
    </xf>
    <xf numFmtId="43" fontId="31" fillId="0" borderId="0" xfId="2" applyFont="1" applyAlignment="1">
      <alignment vertical="center"/>
    </xf>
    <xf numFmtId="43" fontId="32" fillId="0" borderId="0" xfId="2" applyFont="1" applyBorder="1" applyAlignment="1">
      <alignment vertical="center"/>
    </xf>
    <xf numFmtId="43" fontId="28" fillId="0" borderId="11" xfId="2" applyFont="1" applyBorder="1" applyAlignment="1">
      <alignment vertical="center"/>
    </xf>
    <xf numFmtId="43" fontId="32" fillId="0" borderId="0" xfId="2" applyFont="1" applyAlignment="1">
      <alignment vertical="center"/>
    </xf>
    <xf numFmtId="43" fontId="17" fillId="0" borderId="11" xfId="2" applyFont="1" applyBorder="1" applyAlignment="1">
      <alignment vertical="center"/>
    </xf>
    <xf numFmtId="43" fontId="29" fillId="0" borderId="11" xfId="2" applyFont="1" applyBorder="1" applyAlignment="1">
      <alignment horizontal="center" vertical="center"/>
    </xf>
    <xf numFmtId="43" fontId="29" fillId="0" borderId="15" xfId="2" applyFont="1" applyBorder="1" applyAlignment="1">
      <alignment horizontal="center" vertical="center"/>
    </xf>
    <xf numFmtId="43" fontId="29" fillId="0" borderId="11" xfId="2" applyFont="1" applyBorder="1" applyAlignment="1">
      <alignment vertical="center"/>
    </xf>
    <xf numFmtId="43" fontId="29" fillId="0" borderId="0" xfId="2" applyFont="1" applyBorder="1" applyAlignment="1">
      <alignment vertical="center"/>
    </xf>
    <xf numFmtId="43" fontId="29" fillId="0" borderId="0" xfId="2" applyFont="1" applyAlignment="1">
      <alignment vertical="center"/>
    </xf>
    <xf numFmtId="43" fontId="29" fillId="0" borderId="20" xfId="2" applyFont="1" applyBorder="1" applyAlignment="1">
      <alignment horizontal="center" vertical="center" wrapText="1"/>
    </xf>
    <xf numFmtId="43" fontId="29" fillId="0" borderId="21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43" fontId="29" fillId="0" borderId="0" xfId="2" applyFont="1" applyAlignment="1">
      <alignment horizontal="center" vertical="center" wrapText="1"/>
    </xf>
    <xf numFmtId="43" fontId="29" fillId="0" borderId="3" xfId="2" applyFont="1" applyBorder="1" applyAlignment="1">
      <alignment horizontal="center" vertical="center" wrapText="1"/>
    </xf>
    <xf numFmtId="43" fontId="29" fillId="0" borderId="12" xfId="2" applyFont="1" applyBorder="1" applyAlignment="1">
      <alignment horizontal="center" vertical="center" wrapText="1"/>
    </xf>
    <xf numFmtId="43" fontId="29" fillId="0" borderId="14" xfId="2" applyFont="1" applyBorder="1" applyAlignment="1">
      <alignment horizontal="center" vertical="center" wrapText="1"/>
    </xf>
    <xf numFmtId="43" fontId="28" fillId="0" borderId="9" xfId="2" applyFont="1" applyBorder="1" applyAlignment="1">
      <alignment vertical="center"/>
    </xf>
    <xf numFmtId="43" fontId="28" fillId="0" borderId="10" xfId="2" applyFont="1" applyBorder="1" applyAlignment="1">
      <alignment vertical="center"/>
    </xf>
    <xf numFmtId="43" fontId="28" fillId="0" borderId="13" xfId="2" applyFont="1" applyBorder="1" applyAlignment="1">
      <alignment vertical="center"/>
    </xf>
    <xf numFmtId="43" fontId="28" fillId="0" borderId="10" xfId="2" applyFont="1" applyBorder="1" applyAlignment="1">
      <alignment horizontal="center" vertical="center"/>
    </xf>
    <xf numFmtId="43" fontId="28" fillId="0" borderId="13" xfId="2" applyFont="1" applyBorder="1" applyAlignment="1">
      <alignment horizontal="center" vertical="center"/>
    </xf>
    <xf numFmtId="43" fontId="28" fillId="0" borderId="0" xfId="2" applyFont="1" applyAlignment="1">
      <alignment horizontal="center" vertical="center"/>
    </xf>
    <xf numFmtId="43" fontId="28" fillId="0" borderId="23" xfId="2" applyFont="1" applyBorder="1" applyAlignment="1">
      <alignment horizontal="center" vertical="center"/>
    </xf>
    <xf numFmtId="43" fontId="29" fillId="0" borderId="0" xfId="2" applyFont="1" applyAlignment="1">
      <alignment horizontal="center" vertical="center"/>
    </xf>
    <xf numFmtId="43" fontId="28" fillId="0" borderId="6" xfId="2" applyFont="1" applyBorder="1" applyAlignment="1">
      <alignment vertical="center"/>
    </xf>
    <xf numFmtId="43" fontId="31" fillId="0" borderId="0" xfId="2" applyFont="1" applyBorder="1" applyAlignment="1">
      <alignment vertical="center"/>
    </xf>
    <xf numFmtId="14" fontId="28" fillId="0" borderId="0" xfId="2" applyNumberFormat="1" applyFont="1" applyBorder="1" applyAlignment="1">
      <alignment horizontal="center" vertical="center"/>
    </xf>
    <xf numFmtId="43" fontId="28" fillId="0" borderId="0" xfId="2" applyFont="1" applyBorder="1" applyAlignment="1">
      <alignment horizontal="center" vertical="center"/>
    </xf>
    <xf numFmtId="43" fontId="28" fillId="0" borderId="0" xfId="2" applyFont="1" applyBorder="1" applyAlignment="1">
      <alignment horizontal="left" vertical="center"/>
    </xf>
    <xf numFmtId="43" fontId="29" fillId="0" borderId="5" xfId="2" applyFont="1" applyBorder="1" applyAlignment="1">
      <alignment horizontal="center" vertical="center"/>
    </xf>
    <xf numFmtId="43" fontId="28" fillId="0" borderId="23" xfId="2" applyFont="1" applyBorder="1" applyAlignment="1">
      <alignment vertical="center"/>
    </xf>
    <xf numFmtId="43" fontId="33" fillId="0" borderId="0" xfId="2" applyFont="1" applyBorder="1" applyAlignment="1">
      <alignment vertical="center"/>
    </xf>
    <xf numFmtId="43" fontId="28" fillId="0" borderId="0" xfId="2" applyFont="1" applyAlignment="1">
      <alignment horizontal="left" vertical="center" indent="2"/>
    </xf>
    <xf numFmtId="43" fontId="28" fillId="0" borderId="0" xfId="2" applyFont="1" applyAlignment="1">
      <alignment horizontal="left" vertical="center" indent="1"/>
    </xf>
    <xf numFmtId="43" fontId="28" fillId="0" borderId="1" xfId="2" applyFont="1" applyBorder="1" applyAlignment="1">
      <alignment vertical="center"/>
    </xf>
    <xf numFmtId="43" fontId="28" fillId="0" borderId="2" xfId="2" applyFont="1" applyBorder="1" applyAlignment="1">
      <alignment vertical="center"/>
    </xf>
    <xf numFmtId="43" fontId="33" fillId="0" borderId="0" xfId="2" applyFont="1" applyAlignment="1">
      <alignment vertical="center"/>
    </xf>
    <xf numFmtId="43" fontId="28" fillId="0" borderId="3" xfId="2" applyFont="1" applyBorder="1" applyAlignment="1">
      <alignment vertical="center"/>
    </xf>
    <xf numFmtId="8" fontId="28" fillId="0" borderId="0" xfId="2" applyNumberFormat="1" applyFont="1" applyAlignment="1">
      <alignment vertical="center"/>
    </xf>
    <xf numFmtId="43" fontId="28" fillId="0" borderId="5" xfId="2" applyFont="1" applyBorder="1" applyAlignment="1">
      <alignment vertical="center"/>
    </xf>
    <xf numFmtId="43" fontId="34" fillId="0" borderId="2" xfId="2" applyFont="1" applyBorder="1" applyAlignment="1">
      <alignment vertical="center"/>
    </xf>
    <xf numFmtId="43" fontId="28" fillId="0" borderId="0" xfId="2" applyFont="1" applyAlignment="1">
      <alignment horizontal="left" vertical="center"/>
    </xf>
    <xf numFmtId="43" fontId="35" fillId="0" borderId="0" xfId="2" applyFont="1" applyAlignment="1">
      <alignment vertical="center"/>
    </xf>
    <xf numFmtId="43" fontId="36" fillId="0" borderId="0" xfId="2" applyFont="1" applyAlignment="1">
      <alignment horizontal="center" vertical="center" wrapText="1"/>
    </xf>
    <xf numFmtId="43" fontId="37" fillId="0" borderId="0" xfId="2" quotePrefix="1" applyFont="1" applyBorder="1" applyAlignment="1">
      <alignment horizontal="left" vertical="center"/>
    </xf>
    <xf numFmtId="43" fontId="37" fillId="0" borderId="0" xfId="2" quotePrefix="1" applyFont="1" applyAlignment="1">
      <alignment horizontal="left" vertical="center"/>
    </xf>
    <xf numFmtId="43" fontId="37" fillId="0" borderId="0" xfId="2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Normal_PREMAC WAGES MARCH'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REDITO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MARCH '20"/>
      <sheetName val="APRIL '20"/>
      <sheetName val="MAY '20"/>
      <sheetName val="JUNE '20"/>
      <sheetName val="JULY '20"/>
      <sheetName val="AUGUST '20"/>
      <sheetName val="SEPTEMBER '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6">
          <cell r="C66" t="str">
            <v>ü</v>
          </cell>
          <cell r="E66" t="str">
            <v>ü</v>
          </cell>
          <cell r="F66" t="str">
            <v>ü</v>
          </cell>
          <cell r="G66" t="str">
            <v>ü</v>
          </cell>
        </row>
        <row r="68">
          <cell r="H68" t="str">
            <v>ü</v>
          </cell>
          <cell r="I68" t="str">
            <v>ü</v>
          </cell>
        </row>
      </sheetData>
      <sheetData sheetId="6">
        <row r="5">
          <cell r="G5">
            <v>5796</v>
          </cell>
        </row>
        <row r="6">
          <cell r="E6">
            <v>8050</v>
          </cell>
        </row>
        <row r="7">
          <cell r="E7">
            <v>3920</v>
          </cell>
        </row>
        <row r="8">
          <cell r="E8">
            <v>8165</v>
          </cell>
        </row>
        <row r="9">
          <cell r="E9">
            <v>28529.200000000001</v>
          </cell>
        </row>
        <row r="10">
          <cell r="C10">
            <v>2714</v>
          </cell>
        </row>
        <row r="11">
          <cell r="E11">
            <v>28200</v>
          </cell>
        </row>
        <row r="12">
          <cell r="E12">
            <v>2553</v>
          </cell>
        </row>
        <row r="13">
          <cell r="C13">
            <v>1380</v>
          </cell>
        </row>
        <row r="15">
          <cell r="C15">
            <v>2829</v>
          </cell>
        </row>
        <row r="16">
          <cell r="C16">
            <v>11529.9</v>
          </cell>
        </row>
        <row r="17">
          <cell r="E17">
            <v>4082.5</v>
          </cell>
        </row>
        <row r="18">
          <cell r="E18">
            <v>8625</v>
          </cell>
        </row>
        <row r="20">
          <cell r="C20">
            <v>2714</v>
          </cell>
        </row>
        <row r="22">
          <cell r="E22">
            <v>2127.5</v>
          </cell>
        </row>
        <row r="25">
          <cell r="E25">
            <v>9660</v>
          </cell>
        </row>
        <row r="42">
          <cell r="D42" t="str">
            <v>SAN01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Danny"/>
      <sheetName val="Derick"/>
      <sheetName val="VAP"/>
      <sheetName val="Hammon"/>
      <sheetName val="Zealous"/>
      <sheetName val="Fran-Col"/>
      <sheetName val="Turbo Fasteners"/>
      <sheetName val="Tshwane Hydraulics"/>
    </sheetNames>
    <sheetDataSet>
      <sheetData sheetId="0">
        <row r="46">
          <cell r="G46">
            <v>9022.9</v>
          </cell>
        </row>
        <row r="67">
          <cell r="G67">
            <v>9229.9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4"/>
  <sheetViews>
    <sheetView tabSelected="1" topLeftCell="A56" workbookViewId="0">
      <selection activeCell="H76" sqref="A1:H76"/>
    </sheetView>
  </sheetViews>
  <sheetFormatPr defaultRowHeight="12" x14ac:dyDescent="0.25"/>
  <cols>
    <col min="1" max="3" width="12.7109375" style="120" customWidth="1"/>
    <col min="4" max="4" width="1.140625" style="120" customWidth="1"/>
    <col min="5" max="5" width="12.7109375" style="120" customWidth="1"/>
    <col min="6" max="6" width="2.7109375" style="120" customWidth="1"/>
    <col min="7" max="7" width="10.7109375" style="120" customWidth="1"/>
    <col min="8" max="8" width="12.7109375" style="120" customWidth="1"/>
    <col min="9" max="9" width="3" style="120" customWidth="1"/>
    <col min="10" max="10" width="10.7109375" style="122" customWidth="1"/>
    <col min="11" max="11" width="20.7109375" style="122" customWidth="1"/>
    <col min="12" max="12" width="12.7109375" style="122" customWidth="1"/>
    <col min="13" max="13" width="2.28515625" style="120" customWidth="1"/>
    <col min="14" max="14" width="10.7109375" style="120" customWidth="1"/>
    <col min="15" max="15" width="20.7109375" style="120" customWidth="1"/>
    <col min="16" max="16" width="12.7109375" style="108" customWidth="1"/>
    <col min="17" max="17" width="3.85546875" style="169" customWidth="1"/>
    <col min="18" max="16384" width="9.140625" style="120"/>
  </cols>
  <sheetData>
    <row r="1" spans="1:17" ht="15" x14ac:dyDescent="0.25">
      <c r="A1" s="118" t="s">
        <v>68</v>
      </c>
      <c r="B1" s="119"/>
      <c r="C1" s="119"/>
      <c r="D1" s="119"/>
      <c r="H1" s="121">
        <v>44105</v>
      </c>
    </row>
    <row r="2" spans="1:17" ht="20.25" x14ac:dyDescent="0.25">
      <c r="A2" s="123" t="s">
        <v>142</v>
      </c>
      <c r="B2" s="124"/>
      <c r="C2" s="124"/>
      <c r="D2" s="124"/>
    </row>
    <row r="3" spans="1:17" ht="12.95" customHeight="1" x14ac:dyDescent="0.25">
      <c r="H3" s="125"/>
    </row>
    <row r="4" spans="1:17" ht="15" customHeight="1" thickBot="1" x14ac:dyDescent="0.3">
      <c r="A4" s="126" t="s">
        <v>305</v>
      </c>
      <c r="J4" s="127" t="s">
        <v>76</v>
      </c>
      <c r="K4" s="127"/>
      <c r="L4" s="128">
        <f>L5+L12+L42+L78+L87+P63+P76+P79+P82+P86+P88</f>
        <v>190843.2</v>
      </c>
      <c r="N4" s="129" t="s">
        <v>208</v>
      </c>
      <c r="O4" s="129"/>
      <c r="P4" s="130">
        <f>P5+P15+P19+P23+P25+P29+P36+P39+P41+P43+P47</f>
        <v>113259.81999999999</v>
      </c>
    </row>
    <row r="5" spans="1:17" ht="15" customHeight="1" thickTop="1" thickBot="1" x14ac:dyDescent="0.3">
      <c r="A5" s="131" t="s">
        <v>71</v>
      </c>
      <c r="B5" s="131"/>
      <c r="C5" s="131"/>
      <c r="D5" s="132"/>
      <c r="E5" s="133"/>
      <c r="F5" s="133"/>
      <c r="G5" s="133" t="s">
        <v>72</v>
      </c>
      <c r="H5" s="133"/>
      <c r="J5" s="134" t="s">
        <v>143</v>
      </c>
      <c r="L5" s="134">
        <f>SUM(L6:L11)</f>
        <v>37364.54</v>
      </c>
      <c r="N5" s="135" t="s">
        <v>214</v>
      </c>
      <c r="O5" s="135"/>
      <c r="P5" s="100">
        <f>SUM(P6:P14)</f>
        <v>5121.4400000000005</v>
      </c>
    </row>
    <row r="6" spans="1:17" s="139" customFormat="1" ht="15" customHeight="1" thickTop="1" x14ac:dyDescent="0.25">
      <c r="A6" s="136" t="s">
        <v>73</v>
      </c>
      <c r="B6" s="136" t="s">
        <v>74</v>
      </c>
      <c r="C6" s="136" t="s">
        <v>58</v>
      </c>
      <c r="D6" s="136"/>
      <c r="E6" s="136" t="s">
        <v>73</v>
      </c>
      <c r="F6" s="137" t="s">
        <v>74</v>
      </c>
      <c r="G6" s="138"/>
      <c r="H6" s="136" t="s">
        <v>58</v>
      </c>
      <c r="J6" s="66">
        <v>44077</v>
      </c>
      <c r="K6" s="67" t="s">
        <v>34</v>
      </c>
      <c r="L6" s="80">
        <v>4005.45</v>
      </c>
      <c r="N6" s="95" t="s">
        <v>197</v>
      </c>
      <c r="O6" s="95"/>
      <c r="P6" s="80">
        <f>1915.01+647.59</f>
        <v>2562.6</v>
      </c>
      <c r="Q6" s="170" t="s">
        <v>220</v>
      </c>
    </row>
    <row r="7" spans="1:17" s="139" customFormat="1" ht="15" customHeight="1" x14ac:dyDescent="0.25">
      <c r="A7" s="140"/>
      <c r="B7" s="140"/>
      <c r="C7" s="140"/>
      <c r="D7" s="140"/>
      <c r="E7" s="140"/>
      <c r="F7" s="141"/>
      <c r="G7" s="142"/>
      <c r="H7" s="140"/>
      <c r="J7" s="66">
        <v>44077</v>
      </c>
      <c r="K7" s="67" t="s">
        <v>144</v>
      </c>
      <c r="L7" s="81">
        <v>1288.58</v>
      </c>
      <c r="M7" s="120"/>
      <c r="N7" s="95" t="s">
        <v>201</v>
      </c>
      <c r="O7" s="95"/>
      <c r="P7" s="96">
        <v>56.16</v>
      </c>
      <c r="Q7" s="170" t="s">
        <v>220</v>
      </c>
    </row>
    <row r="8" spans="1:17" ht="15" customHeight="1" x14ac:dyDescent="0.25">
      <c r="A8" s="143">
        <v>18101</v>
      </c>
      <c r="B8" s="143">
        <v>0</v>
      </c>
      <c r="C8" s="144">
        <v>186518.5</v>
      </c>
      <c r="D8" s="143"/>
      <c r="E8" s="145">
        <f>851+3404+18515/2+4255+7199+2553+10062.5+920+3795+6440+1138.5+7245+3220</f>
        <v>60340.5</v>
      </c>
      <c r="F8" s="146">
        <f>258916.75-H8-E8</f>
        <v>168492.25</v>
      </c>
      <c r="G8" s="147"/>
      <c r="H8" s="143">
        <v>30084</v>
      </c>
      <c r="J8" s="66">
        <v>44077</v>
      </c>
      <c r="K8" s="67" t="s">
        <v>40</v>
      </c>
      <c r="L8" s="81">
        <v>4603.45</v>
      </c>
      <c r="N8" s="95" t="s">
        <v>202</v>
      </c>
      <c r="O8" s="95"/>
      <c r="P8" s="96">
        <f>46.59+938.49</f>
        <v>985.08</v>
      </c>
      <c r="Q8" s="170" t="s">
        <v>220</v>
      </c>
    </row>
    <row r="9" spans="1:17" ht="15" customHeight="1" x14ac:dyDescent="0.25">
      <c r="A9" s="148" t="s">
        <v>75</v>
      </c>
      <c r="B9" s="120">
        <f>SUM(A8:C8)</f>
        <v>204619.5</v>
      </c>
      <c r="E9" s="148" t="s">
        <v>75</v>
      </c>
      <c r="F9" s="149">
        <f>SUM(E8:H8)</f>
        <v>258916.75</v>
      </c>
      <c r="G9" s="149"/>
      <c r="J9" s="66">
        <v>44077</v>
      </c>
      <c r="K9" s="67" t="s">
        <v>51</v>
      </c>
      <c r="L9" s="81">
        <v>6317.41</v>
      </c>
      <c r="N9" s="95" t="s">
        <v>204</v>
      </c>
      <c r="O9" s="95"/>
      <c r="P9" s="96">
        <v>100</v>
      </c>
      <c r="Q9" s="170" t="s">
        <v>220</v>
      </c>
    </row>
    <row r="10" spans="1:17" ht="15" customHeight="1" thickBot="1" x14ac:dyDescent="0.3">
      <c r="A10" s="150" t="s">
        <v>75</v>
      </c>
      <c r="B10" s="151">
        <f>B9+F9</f>
        <v>463536.25</v>
      </c>
      <c r="J10" s="66">
        <v>44088</v>
      </c>
      <c r="K10" s="67" t="s">
        <v>94</v>
      </c>
      <c r="L10" s="81">
        <v>11149.65</v>
      </c>
      <c r="N10" s="95" t="s">
        <v>205</v>
      </c>
      <c r="O10" s="95"/>
      <c r="P10" s="96">
        <v>350</v>
      </c>
      <c r="Q10" s="170" t="s">
        <v>220</v>
      </c>
    </row>
    <row r="11" spans="1:17" ht="15" customHeight="1" thickTop="1" x14ac:dyDescent="0.25">
      <c r="J11" s="66">
        <v>44089</v>
      </c>
      <c r="K11" s="67" t="s">
        <v>94</v>
      </c>
      <c r="L11" s="82">
        <v>10000</v>
      </c>
      <c r="N11" s="95" t="s">
        <v>206</v>
      </c>
      <c r="O11" s="95"/>
      <c r="P11" s="96">
        <v>73</v>
      </c>
      <c r="Q11" s="170" t="s">
        <v>220</v>
      </c>
    </row>
    <row r="12" spans="1:17" ht="15" customHeight="1" x14ac:dyDescent="0.25">
      <c r="J12" s="134" t="s">
        <v>180</v>
      </c>
      <c r="L12" s="134">
        <f>SUM(L13:L41)</f>
        <v>12807.429999999997</v>
      </c>
      <c r="N12" s="95" t="s">
        <v>221</v>
      </c>
      <c r="O12" s="95"/>
      <c r="P12" s="96">
        <f>6.2*8</f>
        <v>49.6</v>
      </c>
      <c r="Q12" s="170"/>
    </row>
    <row r="13" spans="1:17" ht="15" customHeight="1" thickBot="1" x14ac:dyDescent="0.3">
      <c r="A13" s="152" t="s">
        <v>188</v>
      </c>
      <c r="B13" s="122"/>
      <c r="C13" s="122"/>
      <c r="E13" s="128">
        <f>SUM(E14:E31)</f>
        <v>492530.22000000003</v>
      </c>
      <c r="F13" s="122"/>
      <c r="G13" s="127"/>
      <c r="H13" s="122"/>
      <c r="J13" s="66">
        <v>44069</v>
      </c>
      <c r="K13" s="67" t="s">
        <v>102</v>
      </c>
      <c r="L13" s="80">
        <v>108.63</v>
      </c>
      <c r="M13" s="91"/>
      <c r="N13" s="95" t="s">
        <v>222</v>
      </c>
      <c r="O13" s="95"/>
      <c r="P13" s="96">
        <f>145*3</f>
        <v>435</v>
      </c>
      <c r="Q13" s="170"/>
    </row>
    <row r="14" spans="1:17" ht="15" customHeight="1" thickTop="1" x14ac:dyDescent="0.25">
      <c r="A14" s="153">
        <v>44075</v>
      </c>
      <c r="B14" s="122" t="s">
        <v>29</v>
      </c>
      <c r="C14" s="154"/>
      <c r="D14" s="148"/>
      <c r="E14" s="50">
        <v>12676</v>
      </c>
      <c r="F14" s="50"/>
      <c r="G14" s="51"/>
      <c r="H14" s="51"/>
      <c r="J14" s="66">
        <v>44075</v>
      </c>
      <c r="K14" s="67" t="s">
        <v>80</v>
      </c>
      <c r="L14" s="83">
        <v>178.72</v>
      </c>
      <c r="M14" s="91"/>
      <c r="N14" s="95" t="s">
        <v>223</v>
      </c>
      <c r="O14" s="95"/>
      <c r="P14" s="97">
        <f>120+150+120+120</f>
        <v>510</v>
      </c>
      <c r="Q14" s="170"/>
    </row>
    <row r="15" spans="1:17" ht="15" customHeight="1" x14ac:dyDescent="0.25">
      <c r="A15" s="153">
        <v>44075</v>
      </c>
      <c r="B15" s="122" t="s">
        <v>244</v>
      </c>
      <c r="C15" s="122"/>
      <c r="E15" s="50">
        <v>175512</v>
      </c>
      <c r="F15" s="50"/>
      <c r="G15" s="51"/>
      <c r="H15" s="50"/>
      <c r="J15" s="66">
        <v>44075</v>
      </c>
      <c r="K15" s="67" t="s">
        <v>102</v>
      </c>
      <c r="L15" s="83">
        <v>270.11</v>
      </c>
      <c r="M15" s="91"/>
      <c r="N15" s="135" t="s">
        <v>210</v>
      </c>
      <c r="O15" s="135"/>
      <c r="P15" s="100">
        <f>SUM(P16:P18)</f>
        <v>10279.189999999999</v>
      </c>
    </row>
    <row r="16" spans="1:17" ht="15" customHeight="1" x14ac:dyDescent="0.25">
      <c r="A16" s="153">
        <v>44076</v>
      </c>
      <c r="B16" s="122" t="s">
        <v>117</v>
      </c>
      <c r="C16" s="122"/>
      <c r="E16" s="50">
        <v>14375</v>
      </c>
      <c r="F16" s="50"/>
      <c r="G16" s="51"/>
      <c r="H16" s="50"/>
      <c r="J16" s="66">
        <v>44076</v>
      </c>
      <c r="K16" s="67" t="s">
        <v>290</v>
      </c>
      <c r="L16" s="83">
        <v>386.56</v>
      </c>
      <c r="M16" s="86"/>
      <c r="N16" s="95" t="s">
        <v>224</v>
      </c>
      <c r="O16" s="95"/>
      <c r="P16" s="98">
        <v>1200.6500000000001</v>
      </c>
      <c r="Q16" s="170" t="s">
        <v>220</v>
      </c>
    </row>
    <row r="17" spans="1:17" ht="15" customHeight="1" x14ac:dyDescent="0.25">
      <c r="A17" s="153">
        <v>44077</v>
      </c>
      <c r="B17" s="122" t="s">
        <v>245</v>
      </c>
      <c r="C17" s="122"/>
      <c r="E17" s="50">
        <v>8625</v>
      </c>
      <c r="F17" s="50"/>
      <c r="G17" s="51"/>
      <c r="H17" s="50"/>
      <c r="J17" s="66">
        <v>44078</v>
      </c>
      <c r="K17" s="67" t="s">
        <v>172</v>
      </c>
      <c r="L17" s="83">
        <v>89.8</v>
      </c>
      <c r="M17" s="86"/>
      <c r="N17" s="95" t="s">
        <v>189</v>
      </c>
      <c r="O17" s="95"/>
      <c r="P17" s="96">
        <f>2675.55+1451.85+1451.85+2454.57</f>
        <v>8033.82</v>
      </c>
      <c r="Q17" s="170" t="s">
        <v>220</v>
      </c>
    </row>
    <row r="18" spans="1:17" ht="15" customHeight="1" x14ac:dyDescent="0.25">
      <c r="A18" s="153">
        <v>44078</v>
      </c>
      <c r="B18" s="122" t="s">
        <v>246</v>
      </c>
      <c r="C18" s="122"/>
      <c r="E18" s="50">
        <v>20687.060000000001</v>
      </c>
      <c r="F18" s="50"/>
      <c r="G18" s="90"/>
      <c r="H18" s="50"/>
      <c r="J18" s="66">
        <v>44079</v>
      </c>
      <c r="K18" s="67" t="s">
        <v>91</v>
      </c>
      <c r="L18" s="83">
        <v>48</v>
      </c>
      <c r="M18" s="86"/>
      <c r="N18" s="95" t="s">
        <v>196</v>
      </c>
      <c r="O18" s="95"/>
      <c r="P18" s="97">
        <v>1044.72</v>
      </c>
      <c r="Q18" s="170" t="s">
        <v>220</v>
      </c>
    </row>
    <row r="19" spans="1:17" ht="15" customHeight="1" x14ac:dyDescent="0.25">
      <c r="A19" s="153">
        <v>44081</v>
      </c>
      <c r="B19" s="122" t="s">
        <v>247</v>
      </c>
      <c r="C19" s="122"/>
      <c r="E19" s="50">
        <v>200000</v>
      </c>
      <c r="F19" s="50"/>
      <c r="G19" s="87"/>
      <c r="H19" s="50"/>
      <c r="J19" s="66">
        <v>44079</v>
      </c>
      <c r="K19" s="67" t="s">
        <v>80</v>
      </c>
      <c r="L19" s="83">
        <v>733.47</v>
      </c>
      <c r="M19" s="86"/>
      <c r="N19" s="99" t="s">
        <v>211</v>
      </c>
      <c r="O19" s="99"/>
      <c r="P19" s="100">
        <f>SUM(P20:P22)</f>
        <v>2145.0500000000002</v>
      </c>
    </row>
    <row r="20" spans="1:17" ht="15" customHeight="1" x14ac:dyDescent="0.25">
      <c r="A20" s="153">
        <v>44082</v>
      </c>
      <c r="B20" s="122" t="s">
        <v>248</v>
      </c>
      <c r="C20" s="122"/>
      <c r="E20" s="50">
        <v>4082.5</v>
      </c>
      <c r="F20" s="50"/>
      <c r="G20" s="51"/>
      <c r="H20" s="50"/>
      <c r="J20" s="66">
        <v>44090</v>
      </c>
      <c r="K20" s="67" t="s">
        <v>291</v>
      </c>
      <c r="L20" s="83">
        <v>68.8</v>
      </c>
      <c r="M20" s="86"/>
      <c r="N20" s="95" t="s">
        <v>198</v>
      </c>
      <c r="O20" s="95"/>
      <c r="P20" s="80">
        <v>1213.68</v>
      </c>
      <c r="Q20" s="170" t="s">
        <v>220</v>
      </c>
    </row>
    <row r="21" spans="1:17" ht="15" customHeight="1" x14ac:dyDescent="0.25">
      <c r="A21" s="153">
        <v>44082</v>
      </c>
      <c r="B21" s="122" t="s">
        <v>249</v>
      </c>
      <c r="C21" s="122"/>
      <c r="E21" s="50">
        <v>2714</v>
      </c>
      <c r="F21" s="50"/>
      <c r="G21" s="51"/>
      <c r="H21" s="51"/>
      <c r="J21" s="66">
        <v>44081</v>
      </c>
      <c r="K21" s="67" t="s">
        <v>148</v>
      </c>
      <c r="L21" s="83">
        <v>141.30000000000001</v>
      </c>
      <c r="M21" s="86"/>
      <c r="N21" s="95" t="s">
        <v>228</v>
      </c>
      <c r="O21" s="95"/>
      <c r="P21" s="83">
        <v>619.53</v>
      </c>
      <c r="Q21" s="170" t="s">
        <v>227</v>
      </c>
    </row>
    <row r="22" spans="1:17" ht="15" customHeight="1" x14ac:dyDescent="0.25">
      <c r="A22" s="153">
        <v>44084</v>
      </c>
      <c r="B22" s="122" t="s">
        <v>29</v>
      </c>
      <c r="C22" s="122"/>
      <c r="E22" s="50">
        <v>2000</v>
      </c>
      <c r="F22" s="50"/>
      <c r="G22" s="51"/>
      <c r="H22" s="51"/>
      <c r="J22" s="66">
        <v>44082</v>
      </c>
      <c r="K22" s="67" t="s">
        <v>150</v>
      </c>
      <c r="L22" s="83">
        <v>2202</v>
      </c>
      <c r="M22" s="86"/>
      <c r="N22" s="95" t="s">
        <v>229</v>
      </c>
      <c r="O22" s="95"/>
      <c r="P22" s="93">
        <v>311.83999999999997</v>
      </c>
      <c r="Q22" s="170" t="s">
        <v>227</v>
      </c>
    </row>
    <row r="23" spans="1:17" ht="15" customHeight="1" x14ac:dyDescent="0.25">
      <c r="A23" s="153">
        <v>44084</v>
      </c>
      <c r="B23" s="122" t="s">
        <v>250</v>
      </c>
      <c r="C23" s="122"/>
      <c r="E23" s="50">
        <v>822.13</v>
      </c>
      <c r="F23" s="50"/>
      <c r="G23" s="51"/>
      <c r="H23" s="51"/>
      <c r="J23" s="66">
        <v>44085</v>
      </c>
      <c r="K23" s="67" t="s">
        <v>102</v>
      </c>
      <c r="L23" s="81">
        <v>412.53</v>
      </c>
      <c r="M23" s="86"/>
      <c r="N23" s="99" t="s">
        <v>212</v>
      </c>
      <c r="O23" s="99"/>
      <c r="P23" s="100">
        <f>SUM(P24)</f>
        <v>3952.77</v>
      </c>
    </row>
    <row r="24" spans="1:17" ht="15" customHeight="1" x14ac:dyDescent="0.25">
      <c r="A24" s="153">
        <v>44085</v>
      </c>
      <c r="B24" s="122" t="s">
        <v>251</v>
      </c>
      <c r="C24" s="122"/>
      <c r="E24" s="50">
        <v>3288.53</v>
      </c>
      <c r="F24" s="50"/>
      <c r="G24" s="51"/>
      <c r="H24" s="51"/>
      <c r="J24" s="66">
        <v>44086</v>
      </c>
      <c r="K24" s="67" t="s">
        <v>102</v>
      </c>
      <c r="L24" s="81">
        <v>94.61</v>
      </c>
      <c r="M24" s="86"/>
      <c r="N24" s="95" t="s">
        <v>193</v>
      </c>
      <c r="O24" s="95"/>
      <c r="P24" s="101">
        <v>3952.77</v>
      </c>
      <c r="Q24" s="170" t="s">
        <v>220</v>
      </c>
    </row>
    <row r="25" spans="1:17" ht="15" customHeight="1" x14ac:dyDescent="0.25">
      <c r="A25" s="153">
        <v>44088</v>
      </c>
      <c r="B25" s="122" t="s">
        <v>252</v>
      </c>
      <c r="C25" s="122"/>
      <c r="E25" s="50">
        <v>4255</v>
      </c>
      <c r="F25" s="50"/>
      <c r="G25" s="51"/>
      <c r="H25" s="51"/>
      <c r="J25" s="66">
        <v>44086</v>
      </c>
      <c r="K25" s="67" t="s">
        <v>164</v>
      </c>
      <c r="L25" s="81">
        <v>1521</v>
      </c>
      <c r="M25" s="86"/>
      <c r="N25" s="99" t="s">
        <v>213</v>
      </c>
      <c r="O25" s="99"/>
      <c r="P25" s="100">
        <f>SUM(P26:P28)</f>
        <v>2024</v>
      </c>
    </row>
    <row r="26" spans="1:17" ht="15" customHeight="1" x14ac:dyDescent="0.25">
      <c r="A26" s="153">
        <v>44088</v>
      </c>
      <c r="B26" s="122" t="s">
        <v>118</v>
      </c>
      <c r="C26" s="122"/>
      <c r="E26" s="50">
        <v>10350</v>
      </c>
      <c r="F26" s="50"/>
      <c r="G26" s="51"/>
      <c r="H26" s="51"/>
      <c r="J26" s="66">
        <v>44089</v>
      </c>
      <c r="K26" s="67" t="s">
        <v>102</v>
      </c>
      <c r="L26" s="81">
        <v>244.54</v>
      </c>
      <c r="M26" s="86"/>
      <c r="N26" s="95" t="s">
        <v>194</v>
      </c>
      <c r="O26" s="95"/>
      <c r="P26" s="98">
        <v>1699</v>
      </c>
      <c r="Q26" s="170" t="s">
        <v>220</v>
      </c>
    </row>
    <row r="27" spans="1:17" ht="15" customHeight="1" x14ac:dyDescent="0.25">
      <c r="A27" s="153">
        <v>44089</v>
      </c>
      <c r="B27" s="122" t="s">
        <v>253</v>
      </c>
      <c r="C27" s="122"/>
      <c r="E27" s="50">
        <v>9257.5</v>
      </c>
      <c r="F27" s="50"/>
      <c r="G27" s="51"/>
      <c r="H27" s="51"/>
      <c r="J27" s="66">
        <v>44089</v>
      </c>
      <c r="K27" s="67" t="s">
        <v>170</v>
      </c>
      <c r="L27" s="81">
        <v>129.80000000000001</v>
      </c>
      <c r="M27" s="86"/>
      <c r="N27" s="95" t="s">
        <v>203</v>
      </c>
      <c r="O27" s="95"/>
      <c r="P27" s="96">
        <v>266</v>
      </c>
      <c r="Q27" s="170" t="s">
        <v>220</v>
      </c>
    </row>
    <row r="28" spans="1:17" ht="15" customHeight="1" x14ac:dyDescent="0.25">
      <c r="A28" s="153">
        <v>44091</v>
      </c>
      <c r="B28" s="122" t="s">
        <v>254</v>
      </c>
      <c r="C28" s="122"/>
      <c r="E28" s="50">
        <v>7199</v>
      </c>
      <c r="F28" s="50"/>
      <c r="G28" s="51"/>
      <c r="H28" s="51"/>
      <c r="J28" s="66">
        <v>44089</v>
      </c>
      <c r="K28" s="67" t="s">
        <v>172</v>
      </c>
      <c r="L28" s="81">
        <v>68.900000000000006</v>
      </c>
      <c r="M28" s="86"/>
      <c r="N28" s="95" t="s">
        <v>203</v>
      </c>
      <c r="O28" s="95"/>
      <c r="P28" s="97">
        <v>59</v>
      </c>
      <c r="Q28" s="170" t="s">
        <v>220</v>
      </c>
    </row>
    <row r="29" spans="1:17" ht="15" customHeight="1" x14ac:dyDescent="0.25">
      <c r="A29" s="153">
        <v>44095</v>
      </c>
      <c r="B29" s="122" t="s">
        <v>179</v>
      </c>
      <c r="C29" s="122"/>
      <c r="E29" s="50">
        <v>10062.5</v>
      </c>
      <c r="F29" s="50"/>
      <c r="G29" s="51"/>
      <c r="H29" s="51"/>
      <c r="J29" s="66">
        <v>44089</v>
      </c>
      <c r="K29" s="67" t="s">
        <v>173</v>
      </c>
      <c r="L29" s="81">
        <v>366.01</v>
      </c>
      <c r="M29" s="86"/>
      <c r="N29" s="99" t="s">
        <v>215</v>
      </c>
      <c r="O29" s="99"/>
      <c r="P29" s="100">
        <f>SUM(P30:P35)</f>
        <v>53112</v>
      </c>
    </row>
    <row r="30" spans="1:17" ht="15" customHeight="1" x14ac:dyDescent="0.25">
      <c r="A30" s="153">
        <v>44095</v>
      </c>
      <c r="B30" s="122" t="s">
        <v>255</v>
      </c>
      <c r="C30" s="122"/>
      <c r="E30" s="50">
        <v>4071</v>
      </c>
      <c r="F30" s="50"/>
      <c r="G30" s="51"/>
      <c r="H30" s="51"/>
      <c r="J30" s="66">
        <v>44090</v>
      </c>
      <c r="K30" s="67" t="s">
        <v>80</v>
      </c>
      <c r="L30" s="81">
        <v>416.4</v>
      </c>
      <c r="M30" s="86"/>
      <c r="N30" s="95" t="s">
        <v>217</v>
      </c>
      <c r="O30" s="95"/>
      <c r="P30" s="98">
        <v>11112</v>
      </c>
      <c r="Q30" s="170" t="s">
        <v>220</v>
      </c>
    </row>
    <row r="31" spans="1:17" ht="15" customHeight="1" x14ac:dyDescent="0.25">
      <c r="A31" s="153">
        <v>44096</v>
      </c>
      <c r="B31" s="155" t="s">
        <v>256</v>
      </c>
      <c r="C31" s="122"/>
      <c r="E31" s="50">
        <v>2553</v>
      </c>
      <c r="F31" s="50"/>
      <c r="G31" s="51"/>
      <c r="H31" s="51"/>
      <c r="J31" s="66">
        <v>44095</v>
      </c>
      <c r="K31" s="67" t="s">
        <v>102</v>
      </c>
      <c r="L31" s="81">
        <v>131.59</v>
      </c>
      <c r="M31" s="91"/>
      <c r="N31" s="95" t="s">
        <v>216</v>
      </c>
      <c r="O31" s="95"/>
      <c r="P31" s="96">
        <v>15000</v>
      </c>
      <c r="Q31" s="170" t="s">
        <v>220</v>
      </c>
    </row>
    <row r="32" spans="1:17" ht="15" customHeight="1" x14ac:dyDescent="0.25">
      <c r="A32" s="153">
        <v>44097</v>
      </c>
      <c r="B32" s="155" t="s">
        <v>271</v>
      </c>
      <c r="C32" s="122"/>
      <c r="E32" s="50">
        <v>888.79</v>
      </c>
      <c r="F32" s="50"/>
      <c r="G32" s="51"/>
      <c r="H32" s="51"/>
      <c r="J32" s="66">
        <v>44095</v>
      </c>
      <c r="K32" s="67" t="s">
        <v>102</v>
      </c>
      <c r="L32" s="81">
        <v>73.89</v>
      </c>
      <c r="M32" s="91"/>
      <c r="N32" s="95" t="s">
        <v>195</v>
      </c>
      <c r="O32" s="95"/>
      <c r="P32" s="96">
        <v>0</v>
      </c>
    </row>
    <row r="33" spans="1:17" ht="15" customHeight="1" x14ac:dyDescent="0.25">
      <c r="A33" s="153">
        <v>44097</v>
      </c>
      <c r="B33" s="155" t="s">
        <v>272</v>
      </c>
      <c r="C33" s="122"/>
      <c r="E33" s="50">
        <v>8487</v>
      </c>
      <c r="F33" s="50"/>
      <c r="G33" s="51"/>
      <c r="H33" s="51"/>
      <c r="J33" s="66">
        <v>44095</v>
      </c>
      <c r="K33" s="67" t="s">
        <v>80</v>
      </c>
      <c r="L33" s="81">
        <v>996.61</v>
      </c>
      <c r="M33" s="91"/>
      <c r="N33" s="95" t="s">
        <v>225</v>
      </c>
      <c r="O33" s="95"/>
      <c r="P33" s="96">
        <v>2000</v>
      </c>
      <c r="Q33" s="170" t="s">
        <v>227</v>
      </c>
    </row>
    <row r="34" spans="1:17" ht="15" customHeight="1" x14ac:dyDescent="0.25">
      <c r="A34" s="153">
        <v>44099</v>
      </c>
      <c r="B34" s="155" t="s">
        <v>273</v>
      </c>
      <c r="C34" s="122"/>
      <c r="E34" s="50">
        <v>1099.8800000000001</v>
      </c>
      <c r="F34" s="50"/>
      <c r="G34" s="51"/>
      <c r="H34" s="51"/>
      <c r="J34" s="66">
        <v>44095</v>
      </c>
      <c r="K34" s="67" t="s">
        <v>164</v>
      </c>
      <c r="L34" s="81">
        <v>1000</v>
      </c>
      <c r="M34" s="91"/>
      <c r="N34" s="95" t="s">
        <v>226</v>
      </c>
      <c r="O34" s="95"/>
      <c r="P34" s="96">
        <v>5000</v>
      </c>
      <c r="Q34" s="170" t="s">
        <v>227</v>
      </c>
    </row>
    <row r="35" spans="1:17" ht="15" customHeight="1" x14ac:dyDescent="0.25">
      <c r="A35" s="153">
        <v>44099</v>
      </c>
      <c r="B35" s="155" t="s">
        <v>274</v>
      </c>
      <c r="C35" s="122"/>
      <c r="E35" s="50">
        <v>460.03</v>
      </c>
      <c r="F35" s="50"/>
      <c r="G35" s="51"/>
      <c r="H35" s="51"/>
      <c r="J35" s="66">
        <v>44096</v>
      </c>
      <c r="K35" s="67" t="s">
        <v>102</v>
      </c>
      <c r="L35" s="81">
        <v>378.67</v>
      </c>
      <c r="M35" s="86"/>
      <c r="N35" s="95" t="s">
        <v>232</v>
      </c>
      <c r="O35" s="95"/>
      <c r="P35" s="97">
        <v>20000</v>
      </c>
      <c r="Q35" s="170" t="s">
        <v>233</v>
      </c>
    </row>
    <row r="36" spans="1:17" ht="15" customHeight="1" x14ac:dyDescent="0.25">
      <c r="A36" s="153">
        <v>44102</v>
      </c>
      <c r="B36" s="155" t="s">
        <v>275</v>
      </c>
      <c r="C36" s="122"/>
      <c r="E36" s="50">
        <v>6440</v>
      </c>
      <c r="F36" s="50"/>
      <c r="G36" s="51"/>
      <c r="H36" s="51"/>
      <c r="J36" s="66">
        <v>44096</v>
      </c>
      <c r="K36" s="67" t="s">
        <v>164</v>
      </c>
      <c r="L36" s="81">
        <v>1542</v>
      </c>
      <c r="M36" s="86"/>
      <c r="N36" s="99" t="s">
        <v>207</v>
      </c>
      <c r="O36" s="99"/>
      <c r="P36" s="100">
        <f>SUM(P37:P38)</f>
        <v>27717</v>
      </c>
    </row>
    <row r="37" spans="1:17" ht="15" customHeight="1" x14ac:dyDescent="0.25">
      <c r="A37" s="153">
        <v>44102</v>
      </c>
      <c r="B37" s="120" t="s">
        <v>272</v>
      </c>
      <c r="E37" s="50">
        <v>2829</v>
      </c>
      <c r="F37" s="50"/>
      <c r="G37" s="51"/>
      <c r="H37" s="51"/>
      <c r="J37" s="66">
        <v>44097</v>
      </c>
      <c r="K37" s="67" t="s">
        <v>80</v>
      </c>
      <c r="L37" s="81">
        <v>182.7</v>
      </c>
      <c r="M37" s="86"/>
      <c r="N37" s="95" t="s">
        <v>190</v>
      </c>
      <c r="O37" s="95"/>
      <c r="P37" s="102">
        <v>24264</v>
      </c>
      <c r="Q37" s="170" t="s">
        <v>220</v>
      </c>
    </row>
    <row r="38" spans="1:17" ht="15" customHeight="1" x14ac:dyDescent="0.25">
      <c r="A38" s="153">
        <v>44103</v>
      </c>
      <c r="B38" s="120" t="s">
        <v>276</v>
      </c>
      <c r="E38" s="50">
        <v>699.22</v>
      </c>
      <c r="F38" s="50"/>
      <c r="G38" s="51"/>
      <c r="H38" s="51"/>
      <c r="J38" s="66">
        <v>44097</v>
      </c>
      <c r="K38" s="67" t="s">
        <v>298</v>
      </c>
      <c r="L38" s="81">
        <v>191.8</v>
      </c>
      <c r="M38" s="86"/>
      <c r="N38" s="95" t="s">
        <v>191</v>
      </c>
      <c r="O38" s="95"/>
      <c r="P38" s="103">
        <v>3453</v>
      </c>
      <c r="Q38" s="170" t="s">
        <v>220</v>
      </c>
    </row>
    <row r="39" spans="1:17" ht="15" customHeight="1" x14ac:dyDescent="0.25">
      <c r="A39" s="153">
        <v>44103</v>
      </c>
      <c r="B39" s="120" t="s">
        <v>277</v>
      </c>
      <c r="E39" s="50">
        <f>3795+4554</f>
        <v>8349</v>
      </c>
      <c r="F39" s="50"/>
      <c r="G39" s="51"/>
      <c r="H39" s="51"/>
      <c r="J39" s="66">
        <v>44098</v>
      </c>
      <c r="K39" s="67" t="s">
        <v>290</v>
      </c>
      <c r="L39" s="83">
        <v>437.71</v>
      </c>
      <c r="M39" s="86"/>
      <c r="N39" s="99" t="s">
        <v>209</v>
      </c>
      <c r="O39" s="99"/>
      <c r="P39" s="104">
        <f>SUM(P40)</f>
        <v>1362</v>
      </c>
    </row>
    <row r="40" spans="1:17" ht="15" customHeight="1" x14ac:dyDescent="0.25">
      <c r="A40" s="153">
        <v>44103</v>
      </c>
      <c r="B40" s="120" t="s">
        <v>258</v>
      </c>
      <c r="E40" s="50">
        <v>6900</v>
      </c>
      <c r="F40" s="50"/>
      <c r="G40" s="51"/>
      <c r="H40" s="51"/>
      <c r="J40" s="66">
        <v>44099</v>
      </c>
      <c r="K40" s="67" t="s">
        <v>295</v>
      </c>
      <c r="L40" s="83">
        <v>322.48</v>
      </c>
      <c r="M40" s="86"/>
      <c r="N40" s="95" t="s">
        <v>192</v>
      </c>
      <c r="O40" s="95"/>
      <c r="P40" s="101">
        <v>1362</v>
      </c>
      <c r="Q40" s="170" t="s">
        <v>220</v>
      </c>
    </row>
    <row r="41" spans="1:17" ht="15" customHeight="1" x14ac:dyDescent="0.25">
      <c r="A41" s="153">
        <v>44104</v>
      </c>
      <c r="B41" s="120" t="s">
        <v>278</v>
      </c>
      <c r="E41" s="50">
        <v>15293.85</v>
      </c>
      <c r="F41" s="50"/>
      <c r="G41" s="51"/>
      <c r="H41" s="51"/>
      <c r="J41" s="66">
        <v>44100</v>
      </c>
      <c r="K41" s="67" t="s">
        <v>300</v>
      </c>
      <c r="L41" s="82">
        <v>68.8</v>
      </c>
      <c r="M41" s="86"/>
      <c r="N41" s="99" t="s">
        <v>218</v>
      </c>
      <c r="O41" s="99"/>
      <c r="P41" s="100">
        <f>SUM(P42)</f>
        <v>919</v>
      </c>
    </row>
    <row r="42" spans="1:17" ht="15" customHeight="1" x14ac:dyDescent="0.25">
      <c r="A42" s="153">
        <v>44104</v>
      </c>
      <c r="B42" s="120" t="s">
        <v>257</v>
      </c>
      <c r="E42" s="50">
        <v>31451.06</v>
      </c>
      <c r="F42" s="50"/>
      <c r="G42" s="51"/>
      <c r="H42" s="51"/>
      <c r="J42" s="79" t="s">
        <v>181</v>
      </c>
      <c r="K42" s="67"/>
      <c r="L42" s="88">
        <f>SUM(L43:L77)</f>
        <v>81665.380000000019</v>
      </c>
      <c r="M42" s="86"/>
      <c r="N42" s="95" t="s">
        <v>199</v>
      </c>
      <c r="O42" s="95"/>
      <c r="P42" s="101">
        <v>919</v>
      </c>
      <c r="Q42" s="170" t="s">
        <v>220</v>
      </c>
    </row>
    <row r="43" spans="1:17" ht="15" customHeight="1" x14ac:dyDescent="0.25">
      <c r="A43" s="153">
        <v>44104</v>
      </c>
      <c r="B43" s="120" t="s">
        <v>279</v>
      </c>
      <c r="E43" s="50">
        <v>3220</v>
      </c>
      <c r="F43" s="50"/>
      <c r="G43" s="51"/>
      <c r="H43" s="51"/>
      <c r="J43" s="66">
        <v>44068</v>
      </c>
      <c r="K43" s="67" t="s">
        <v>286</v>
      </c>
      <c r="L43" s="80">
        <v>280.49</v>
      </c>
      <c r="M43" s="86"/>
      <c r="N43" s="99" t="s">
        <v>219</v>
      </c>
      <c r="O43" s="99"/>
      <c r="P43" s="100">
        <f>SUM(P44:P46)</f>
        <v>2762.79</v>
      </c>
    </row>
    <row r="44" spans="1:17" ht="15" customHeight="1" x14ac:dyDescent="0.25">
      <c r="E44" s="50"/>
      <c r="F44" s="50"/>
      <c r="G44" s="51"/>
      <c r="H44" s="51"/>
      <c r="J44" s="66">
        <v>44075</v>
      </c>
      <c r="K44" s="67" t="s">
        <v>289</v>
      </c>
      <c r="L44" s="83">
        <v>253.58</v>
      </c>
      <c r="M44" s="86"/>
      <c r="N44" s="95" t="s">
        <v>269</v>
      </c>
      <c r="O44" s="95"/>
      <c r="P44" s="98">
        <v>1222.81</v>
      </c>
      <c r="Q44" s="170" t="s">
        <v>220</v>
      </c>
    </row>
    <row r="45" spans="1:17" ht="15" customHeight="1" x14ac:dyDescent="0.25">
      <c r="A45" s="156" t="s">
        <v>263</v>
      </c>
      <c r="B45" s="156"/>
      <c r="C45" s="156"/>
      <c r="D45" s="156"/>
      <c r="E45" s="156"/>
      <c r="F45" s="156"/>
      <c r="G45" s="156"/>
      <c r="H45" s="156"/>
      <c r="I45" s="51"/>
      <c r="J45" s="66">
        <v>44078</v>
      </c>
      <c r="K45" s="67" t="s">
        <v>145</v>
      </c>
      <c r="L45" s="83">
        <v>105</v>
      </c>
      <c r="M45" s="86"/>
      <c r="N45" s="95" t="s">
        <v>270</v>
      </c>
      <c r="O45" s="95"/>
      <c r="P45" s="105">
        <v>1060.99</v>
      </c>
      <c r="Q45" s="170" t="s">
        <v>220</v>
      </c>
    </row>
    <row r="46" spans="1:17" ht="15" customHeight="1" x14ac:dyDescent="0.25">
      <c r="A46" s="120" t="s">
        <v>281</v>
      </c>
      <c r="C46" s="122">
        <v>-76319.7</v>
      </c>
      <c r="E46" s="157"/>
      <c r="F46" s="50"/>
      <c r="I46" s="51"/>
      <c r="J46" s="66">
        <v>44079</v>
      </c>
      <c r="K46" s="67" t="s">
        <v>145</v>
      </c>
      <c r="L46" s="83">
        <v>148</v>
      </c>
      <c r="M46" s="86"/>
      <c r="N46" s="95" t="s">
        <v>200</v>
      </c>
      <c r="O46" s="95"/>
      <c r="P46" s="103">
        <v>478.99</v>
      </c>
      <c r="Q46" s="170" t="s">
        <v>220</v>
      </c>
    </row>
    <row r="47" spans="1:17" ht="15" customHeight="1" x14ac:dyDescent="0.25">
      <c r="A47" s="135" t="s">
        <v>112</v>
      </c>
      <c r="C47" s="120">
        <v>72658.77</v>
      </c>
      <c r="E47" s="158"/>
      <c r="F47" s="50"/>
      <c r="I47" s="51"/>
      <c r="J47" s="66">
        <v>44081</v>
      </c>
      <c r="K47" s="67" t="s">
        <v>149</v>
      </c>
      <c r="L47" s="83">
        <v>8625</v>
      </c>
      <c r="M47" s="86"/>
      <c r="N47" s="99" t="s">
        <v>230</v>
      </c>
      <c r="O47" s="99"/>
      <c r="P47" s="104">
        <f>SUM(P48)</f>
        <v>3864.58</v>
      </c>
    </row>
    <row r="48" spans="1:17" ht="15" customHeight="1" x14ac:dyDescent="0.25">
      <c r="A48" s="135" t="s">
        <v>259</v>
      </c>
      <c r="C48" s="120">
        <f>SUM(C49:C57)</f>
        <v>52275.100000000006</v>
      </c>
      <c r="F48" s="50"/>
      <c r="I48" s="51"/>
      <c r="J48" s="66">
        <v>44082</v>
      </c>
      <c r="K48" s="67" t="s">
        <v>151</v>
      </c>
      <c r="L48" s="81">
        <v>1322.5</v>
      </c>
      <c r="M48" s="86"/>
      <c r="N48" s="159" t="s">
        <v>231</v>
      </c>
      <c r="O48" s="159"/>
      <c r="P48" s="101">
        <v>3864.58</v>
      </c>
      <c r="Q48" s="170" t="s">
        <v>227</v>
      </c>
    </row>
    <row r="49" spans="1:19" ht="15" customHeight="1" x14ac:dyDescent="0.25">
      <c r="A49" s="160" t="s">
        <v>260</v>
      </c>
      <c r="C49" s="161">
        <v>12000</v>
      </c>
      <c r="E49" s="122"/>
      <c r="F49" s="50"/>
      <c r="I49" s="51"/>
      <c r="J49" s="66">
        <v>44082</v>
      </c>
      <c r="K49" s="67" t="s">
        <v>152</v>
      </c>
      <c r="L49" s="81">
        <v>4572.3999999999996</v>
      </c>
      <c r="M49" s="86"/>
    </row>
    <row r="50" spans="1:19" ht="15" customHeight="1" thickBot="1" x14ac:dyDescent="0.3">
      <c r="A50" s="160" t="s">
        <v>261</v>
      </c>
      <c r="C50" s="162">
        <v>12000</v>
      </c>
      <c r="E50" s="122"/>
      <c r="I50" s="51"/>
      <c r="J50" s="66">
        <v>44083</v>
      </c>
      <c r="K50" s="67" t="s">
        <v>155</v>
      </c>
      <c r="L50" s="81">
        <v>3204.02</v>
      </c>
      <c r="M50" s="86"/>
      <c r="N50" s="129" t="s">
        <v>234</v>
      </c>
      <c r="O50" s="129"/>
      <c r="P50" s="128">
        <f>SUM(P51:P61)</f>
        <v>89057.400000000009</v>
      </c>
    </row>
    <row r="51" spans="1:19" ht="15" customHeight="1" thickTop="1" x14ac:dyDescent="0.25">
      <c r="A51" s="160" t="s">
        <v>280</v>
      </c>
      <c r="C51" s="162">
        <f>3864.58+2000</f>
        <v>5864.58</v>
      </c>
      <c r="E51" s="122"/>
      <c r="F51" s="163"/>
      <c r="I51" s="51"/>
      <c r="J51" s="66">
        <v>44083</v>
      </c>
      <c r="K51" s="67" t="s">
        <v>83</v>
      </c>
      <c r="L51" s="81">
        <v>483</v>
      </c>
      <c r="M51" s="86"/>
      <c r="N51" s="106" t="s">
        <v>235</v>
      </c>
      <c r="O51" s="106"/>
      <c r="P51" s="107">
        <f>1941.71+2818.63+3251.59+4070.51+1125*4+5266.14</f>
        <v>21848.58</v>
      </c>
      <c r="Q51" s="171"/>
    </row>
    <row r="52" spans="1:19" ht="15" customHeight="1" x14ac:dyDescent="0.25">
      <c r="A52" s="160" t="s">
        <v>262</v>
      </c>
      <c r="B52" s="122"/>
      <c r="C52" s="162">
        <v>4000</v>
      </c>
      <c r="I52" s="51"/>
      <c r="J52" s="66">
        <v>44083</v>
      </c>
      <c r="K52" s="67" t="s">
        <v>156</v>
      </c>
      <c r="L52" s="81">
        <v>21722.06</v>
      </c>
      <c r="M52" s="86"/>
      <c r="N52" s="106" t="s">
        <v>237</v>
      </c>
      <c r="O52" s="106"/>
      <c r="P52" s="107">
        <f>905.13+1005.13+905.13+905.13+905.13</f>
        <v>4625.6499999999996</v>
      </c>
      <c r="Q52" s="172"/>
    </row>
    <row r="53" spans="1:19" ht="15" customHeight="1" x14ac:dyDescent="0.25">
      <c r="A53" s="160" t="s">
        <v>282</v>
      </c>
      <c r="B53" s="122"/>
      <c r="C53" s="162">
        <f>311.84+619.53</f>
        <v>931.36999999999989</v>
      </c>
      <c r="I53" s="51"/>
      <c r="J53" s="66">
        <v>44083</v>
      </c>
      <c r="K53" s="67" t="s">
        <v>103</v>
      </c>
      <c r="L53" s="81">
        <v>399.3</v>
      </c>
      <c r="M53" s="86"/>
      <c r="N53" s="106" t="s">
        <v>238</v>
      </c>
      <c r="O53" s="106"/>
      <c r="P53" s="107">
        <f>1303.77*4+2043.68</f>
        <v>7258.76</v>
      </c>
      <c r="Q53" s="172"/>
    </row>
    <row r="54" spans="1:19" ht="15" customHeight="1" x14ac:dyDescent="0.25">
      <c r="A54" s="160" t="s">
        <v>131</v>
      </c>
      <c r="B54" s="122"/>
      <c r="C54" s="162">
        <v>15000</v>
      </c>
      <c r="I54" s="51"/>
      <c r="J54" s="66">
        <v>44084</v>
      </c>
      <c r="K54" s="67" t="s">
        <v>161</v>
      </c>
      <c r="L54" s="81">
        <v>19550</v>
      </c>
      <c r="M54" s="86"/>
      <c r="N54" s="106" t="s">
        <v>239</v>
      </c>
      <c r="O54" s="106"/>
      <c r="P54" s="107">
        <f>1269.22+1269.22+1415.47+1794.22+1802.22</f>
        <v>7550.35</v>
      </c>
      <c r="Q54" s="172"/>
    </row>
    <row r="55" spans="1:19" ht="15" customHeight="1" x14ac:dyDescent="0.25">
      <c r="A55" s="160" t="s">
        <v>284</v>
      </c>
      <c r="B55" s="122"/>
      <c r="C55" s="162">
        <f>380*2</f>
        <v>760</v>
      </c>
      <c r="I55" s="51"/>
      <c r="J55" s="66">
        <v>44084</v>
      </c>
      <c r="K55" s="67" t="s">
        <v>162</v>
      </c>
      <c r="L55" s="81">
        <v>576.89</v>
      </c>
      <c r="M55" s="86"/>
      <c r="N55" s="106" t="s">
        <v>240</v>
      </c>
      <c r="O55" s="106"/>
      <c r="P55" s="107">
        <f>990*2+1018.13+1712+1782.5</f>
        <v>6492.63</v>
      </c>
      <c r="Q55" s="172"/>
    </row>
    <row r="56" spans="1:19" ht="15" customHeight="1" x14ac:dyDescent="0.25">
      <c r="A56" s="160" t="s">
        <v>285</v>
      </c>
      <c r="B56" s="122"/>
      <c r="C56" s="162">
        <v>1120</v>
      </c>
      <c r="I56" s="51"/>
      <c r="J56" s="66">
        <v>44088</v>
      </c>
      <c r="K56" s="67" t="s">
        <v>96</v>
      </c>
      <c r="L56" s="81">
        <v>3674.25</v>
      </c>
      <c r="M56" s="86"/>
      <c r="N56" s="106" t="s">
        <v>241</v>
      </c>
      <c r="O56" s="106"/>
      <c r="P56" s="107">
        <f>1737.17+1793.78+1717.97+2059.63+2356.14</f>
        <v>9664.69</v>
      </c>
      <c r="Q56" s="172"/>
    </row>
    <row r="57" spans="1:19" ht="15" customHeight="1" x14ac:dyDescent="0.25">
      <c r="A57" s="160" t="s">
        <v>96</v>
      </c>
      <c r="B57" s="122"/>
      <c r="C57" s="164">
        <v>599.15</v>
      </c>
      <c r="I57" s="51"/>
      <c r="J57" s="66">
        <v>44088</v>
      </c>
      <c r="K57" s="67" t="s">
        <v>166</v>
      </c>
      <c r="L57" s="81">
        <v>1633</v>
      </c>
      <c r="M57" s="91"/>
      <c r="N57" s="106" t="s">
        <v>242</v>
      </c>
      <c r="O57" s="106"/>
      <c r="P57" s="107">
        <f>495+1603.75+1717.97+2059.63+1807.25</f>
        <v>7683.6</v>
      </c>
      <c r="Q57" s="173"/>
    </row>
    <row r="58" spans="1:19" ht="15" customHeight="1" x14ac:dyDescent="0.25">
      <c r="A58" s="135" t="s">
        <v>120</v>
      </c>
      <c r="C58" s="120">
        <f>SUM(C59:C72)</f>
        <v>112935.06999999999</v>
      </c>
      <c r="E58" s="89">
        <f>SUM(E59:E72)</f>
        <v>34213.08</v>
      </c>
      <c r="F58" s="94" t="s">
        <v>308</v>
      </c>
      <c r="J58" s="66">
        <v>44088</v>
      </c>
      <c r="K58" s="67" t="s">
        <v>82</v>
      </c>
      <c r="L58" s="81">
        <v>2564.5</v>
      </c>
      <c r="M58" s="91"/>
      <c r="N58" s="106" t="s">
        <v>236</v>
      </c>
      <c r="O58" s="106"/>
      <c r="P58" s="107">
        <f>316.8+1386+1456.9</f>
        <v>3159.7</v>
      </c>
      <c r="Q58" s="173"/>
    </row>
    <row r="59" spans="1:19" ht="15" customHeight="1" x14ac:dyDescent="0.25">
      <c r="A59" s="160" t="s">
        <v>34</v>
      </c>
      <c r="C59" s="161">
        <v>10600.53</v>
      </c>
      <c r="E59" s="80">
        <v>3347.65</v>
      </c>
      <c r="J59" s="66">
        <v>44088</v>
      </c>
      <c r="K59" s="67" t="s">
        <v>167</v>
      </c>
      <c r="L59" s="81">
        <v>931.5</v>
      </c>
      <c r="M59" s="86"/>
      <c r="N59" s="106" t="s">
        <v>243</v>
      </c>
      <c r="O59" s="106"/>
      <c r="P59" s="108">
        <f>4000*5</f>
        <v>20000</v>
      </c>
      <c r="Q59" s="172"/>
    </row>
    <row r="60" spans="1:19" ht="15" customHeight="1" x14ac:dyDescent="0.25">
      <c r="A60" s="160" t="s">
        <v>265</v>
      </c>
      <c r="C60" s="162">
        <v>8133.03</v>
      </c>
      <c r="E60" s="83"/>
      <c r="J60" s="66">
        <v>44088</v>
      </c>
      <c r="K60" s="67" t="s">
        <v>168</v>
      </c>
      <c r="L60" s="81">
        <v>495.56</v>
      </c>
      <c r="M60" s="86"/>
      <c r="N60" s="106" t="s">
        <v>303</v>
      </c>
      <c r="O60" s="106"/>
      <c r="P60" s="108">
        <v>386.72</v>
      </c>
    </row>
    <row r="61" spans="1:19" ht="15" customHeight="1" x14ac:dyDescent="0.25">
      <c r="A61" s="160" t="s">
        <v>266</v>
      </c>
      <c r="C61" s="162">
        <v>23462.95</v>
      </c>
      <c r="E61" s="83"/>
      <c r="J61" s="66">
        <v>44088</v>
      </c>
      <c r="K61" s="67" t="s">
        <v>103</v>
      </c>
      <c r="L61" s="81">
        <v>497.8</v>
      </c>
      <c r="M61" s="109"/>
      <c r="N61" s="106" t="s">
        <v>304</v>
      </c>
      <c r="O61" s="106"/>
      <c r="P61" s="108">
        <v>386.72</v>
      </c>
    </row>
    <row r="62" spans="1:19" ht="15" customHeight="1" x14ac:dyDescent="0.25">
      <c r="A62" s="160" t="s">
        <v>40</v>
      </c>
      <c r="B62" s="165"/>
      <c r="C62" s="162">
        <v>19713.3</v>
      </c>
      <c r="E62" s="83"/>
      <c r="J62" s="66">
        <v>44088</v>
      </c>
      <c r="K62" s="67" t="s">
        <v>162</v>
      </c>
      <c r="L62" s="81">
        <v>867.3</v>
      </c>
      <c r="M62" s="110"/>
      <c r="N62" s="166"/>
      <c r="O62" s="166"/>
      <c r="P62" s="166"/>
      <c r="Q62" s="174"/>
    </row>
    <row r="63" spans="1:19" ht="15" customHeight="1" x14ac:dyDescent="0.15">
      <c r="A63" s="160" t="s">
        <v>309</v>
      </c>
      <c r="B63" s="165"/>
      <c r="C63" s="162"/>
      <c r="E63" s="83">
        <v>664.18</v>
      </c>
      <c r="J63" s="66">
        <v>44090</v>
      </c>
      <c r="K63" s="67" t="s">
        <v>174</v>
      </c>
      <c r="L63" s="81">
        <v>1357</v>
      </c>
      <c r="M63" s="86"/>
      <c r="N63" s="79" t="s">
        <v>186</v>
      </c>
      <c r="O63" s="67"/>
      <c r="P63" s="88">
        <f>SUM(P64:P75)</f>
        <v>9843.130000000001</v>
      </c>
      <c r="Q63" s="175"/>
      <c r="S63" s="108"/>
    </row>
    <row r="64" spans="1:19" ht="15" customHeight="1" x14ac:dyDescent="0.15">
      <c r="A64" s="160" t="s">
        <v>94</v>
      </c>
      <c r="C64" s="162">
        <v>4588.5</v>
      </c>
      <c r="E64" s="83">
        <v>9022.9</v>
      </c>
      <c r="J64" s="66">
        <v>44090</v>
      </c>
      <c r="K64" s="67" t="s">
        <v>292</v>
      </c>
      <c r="L64" s="83">
        <v>1109.08</v>
      </c>
      <c r="M64" s="91"/>
      <c r="N64" s="66">
        <v>44070</v>
      </c>
      <c r="O64" s="67" t="s">
        <v>287</v>
      </c>
      <c r="P64" s="80">
        <v>943.5</v>
      </c>
      <c r="Q64" s="175"/>
      <c r="S64" s="108"/>
    </row>
    <row r="65" spans="1:22" ht="15" customHeight="1" x14ac:dyDescent="0.2">
      <c r="A65" s="160" t="s">
        <v>310</v>
      </c>
      <c r="C65" s="162"/>
      <c r="E65" s="83">
        <v>237.04</v>
      </c>
      <c r="J65" s="66">
        <v>44097</v>
      </c>
      <c r="K65" s="67" t="s">
        <v>293</v>
      </c>
      <c r="L65" s="83">
        <v>239.55</v>
      </c>
      <c r="M65" s="86"/>
      <c r="N65" s="66">
        <v>44075</v>
      </c>
      <c r="O65" s="67" t="s">
        <v>91</v>
      </c>
      <c r="P65" s="83">
        <v>1044.1600000000001</v>
      </c>
      <c r="Q65" s="175"/>
      <c r="S65" s="108"/>
      <c r="U65" s="111"/>
      <c r="V65" s="111"/>
    </row>
    <row r="66" spans="1:22" ht="15" customHeight="1" x14ac:dyDescent="0.2">
      <c r="A66" s="160" t="s">
        <v>51</v>
      </c>
      <c r="C66" s="162">
        <v>2692.78</v>
      </c>
      <c r="E66" s="83">
        <v>9229.9</v>
      </c>
      <c r="J66" s="66">
        <v>44095</v>
      </c>
      <c r="K66" s="67" t="s">
        <v>103</v>
      </c>
      <c r="L66" s="81">
        <v>381.8</v>
      </c>
      <c r="M66" s="86"/>
      <c r="N66" s="66">
        <v>44075</v>
      </c>
      <c r="O66" s="67" t="s">
        <v>91</v>
      </c>
      <c r="P66" s="83">
        <v>300</v>
      </c>
      <c r="Q66" s="175"/>
      <c r="S66" s="108"/>
      <c r="U66" s="111"/>
      <c r="V66" s="111"/>
    </row>
    <row r="67" spans="1:22" ht="15" customHeight="1" x14ac:dyDescent="0.2">
      <c r="A67" s="160" t="s">
        <v>267</v>
      </c>
      <c r="C67" s="162">
        <v>11358.07</v>
      </c>
      <c r="E67" s="83">
        <v>11711.41</v>
      </c>
      <c r="J67" s="66">
        <v>44095</v>
      </c>
      <c r="K67" s="67" t="s">
        <v>162</v>
      </c>
      <c r="L67" s="81">
        <v>822.9</v>
      </c>
      <c r="M67" s="86"/>
      <c r="N67" s="66">
        <v>44077</v>
      </c>
      <c r="O67" s="67" t="s">
        <v>91</v>
      </c>
      <c r="P67" s="83">
        <v>989.93</v>
      </c>
      <c r="Q67" s="175"/>
      <c r="U67" s="111"/>
      <c r="V67" s="111"/>
    </row>
    <row r="68" spans="1:22" ht="15" customHeight="1" x14ac:dyDescent="0.2">
      <c r="A68" s="160" t="s">
        <v>123</v>
      </c>
      <c r="C68" s="167">
        <v>9969.7000000000007</v>
      </c>
      <c r="E68" s="83"/>
      <c r="J68" s="66">
        <v>44095</v>
      </c>
      <c r="K68" s="67" t="s">
        <v>103</v>
      </c>
      <c r="L68" s="81">
        <v>667</v>
      </c>
      <c r="M68" s="91"/>
      <c r="N68" s="66">
        <v>44078</v>
      </c>
      <c r="O68" s="67" t="s">
        <v>146</v>
      </c>
      <c r="P68" s="83">
        <v>923.55</v>
      </c>
      <c r="Q68" s="175"/>
      <c r="U68" s="111"/>
      <c r="V68" s="111"/>
    </row>
    <row r="69" spans="1:22" ht="15" customHeight="1" x14ac:dyDescent="0.2">
      <c r="A69" s="160" t="s">
        <v>311</v>
      </c>
      <c r="C69" s="167"/>
      <c r="E69" s="83">
        <v>0</v>
      </c>
      <c r="J69" s="66">
        <v>44097</v>
      </c>
      <c r="K69" s="67" t="s">
        <v>179</v>
      </c>
      <c r="L69" s="81">
        <v>1983.98</v>
      </c>
      <c r="M69" s="91"/>
      <c r="N69" s="66">
        <v>44082</v>
      </c>
      <c r="O69" s="67" t="s">
        <v>153</v>
      </c>
      <c r="P69" s="81">
        <v>872.75</v>
      </c>
      <c r="Q69" s="175"/>
      <c r="U69" s="111"/>
      <c r="V69" s="111"/>
    </row>
    <row r="70" spans="1:22" ht="15" customHeight="1" x14ac:dyDescent="0.2">
      <c r="A70" s="160" t="s">
        <v>124</v>
      </c>
      <c r="C70" s="167">
        <v>10788.01</v>
      </c>
      <c r="E70" s="83"/>
      <c r="J70" s="66">
        <v>44097</v>
      </c>
      <c r="K70" s="67" t="s">
        <v>83</v>
      </c>
      <c r="L70" s="81">
        <v>483</v>
      </c>
      <c r="M70" s="91"/>
      <c r="N70" s="66">
        <v>44089</v>
      </c>
      <c r="O70" s="67" t="s">
        <v>169</v>
      </c>
      <c r="P70" s="81">
        <v>1018.52</v>
      </c>
      <c r="Q70" s="175"/>
      <c r="U70" s="111"/>
      <c r="V70" s="111"/>
    </row>
    <row r="71" spans="1:22" ht="15" customHeight="1" x14ac:dyDescent="0.2">
      <c r="A71" s="160" t="s">
        <v>312</v>
      </c>
      <c r="C71" s="167"/>
      <c r="E71" s="83"/>
      <c r="J71" s="66">
        <v>44097</v>
      </c>
      <c r="K71" s="67" t="s">
        <v>162</v>
      </c>
      <c r="L71" s="81">
        <v>237.36</v>
      </c>
      <c r="M71" s="91"/>
      <c r="N71" s="66">
        <v>44091</v>
      </c>
      <c r="O71" s="67" t="s">
        <v>177</v>
      </c>
      <c r="P71" s="81">
        <v>755.35</v>
      </c>
      <c r="Q71" s="176"/>
      <c r="U71" s="111"/>
      <c r="V71" s="111"/>
    </row>
    <row r="72" spans="1:22" ht="15" customHeight="1" x14ac:dyDescent="0.2">
      <c r="A72" s="160" t="s">
        <v>264</v>
      </c>
      <c r="C72" s="164">
        <v>11628.2</v>
      </c>
      <c r="E72" s="93"/>
      <c r="J72" s="66">
        <v>44097</v>
      </c>
      <c r="K72" s="67" t="s">
        <v>100</v>
      </c>
      <c r="L72" s="81">
        <v>90</v>
      </c>
      <c r="M72" s="86"/>
      <c r="N72" s="66">
        <v>44091</v>
      </c>
      <c r="O72" s="67" t="s">
        <v>178</v>
      </c>
      <c r="P72" s="81">
        <v>765.2</v>
      </c>
      <c r="Q72" s="176"/>
      <c r="U72" s="111"/>
      <c r="V72" s="111"/>
    </row>
    <row r="73" spans="1:22" ht="15" customHeight="1" x14ac:dyDescent="0.2">
      <c r="A73" s="135" t="s">
        <v>283</v>
      </c>
      <c r="C73" s="120">
        <f>22000*4</f>
        <v>88000</v>
      </c>
      <c r="E73" s="50"/>
      <c r="J73" s="66">
        <v>44097</v>
      </c>
      <c r="K73" s="67" t="s">
        <v>297</v>
      </c>
      <c r="L73" s="81">
        <v>854.45</v>
      </c>
      <c r="M73" s="86"/>
      <c r="N73" s="66">
        <v>44093</v>
      </c>
      <c r="O73" s="67" t="s">
        <v>91</v>
      </c>
      <c r="P73" s="81">
        <v>973.83</v>
      </c>
      <c r="Q73" s="176"/>
      <c r="U73" s="111"/>
      <c r="V73" s="111"/>
    </row>
    <row r="74" spans="1:22" ht="15" customHeight="1" x14ac:dyDescent="0.2">
      <c r="A74" s="135" t="s">
        <v>307</v>
      </c>
      <c r="C74" s="120">
        <f>F8</f>
        <v>168492.25</v>
      </c>
      <c r="E74" s="50"/>
      <c r="J74" s="66">
        <v>44097</v>
      </c>
      <c r="K74" s="67" t="s">
        <v>100</v>
      </c>
      <c r="L74" s="81">
        <v>607</v>
      </c>
      <c r="M74" s="86"/>
      <c r="N74" s="66">
        <v>44097</v>
      </c>
      <c r="O74" s="67" t="s">
        <v>91</v>
      </c>
      <c r="P74" s="81">
        <v>400</v>
      </c>
      <c r="Q74" s="176"/>
      <c r="U74" s="111"/>
      <c r="V74" s="111"/>
    </row>
    <row r="75" spans="1:22" ht="15" customHeight="1" x14ac:dyDescent="0.2">
      <c r="A75" s="135" t="s">
        <v>306</v>
      </c>
      <c r="C75" s="120">
        <f>C8+H8</f>
        <v>216602.5</v>
      </c>
      <c r="E75" s="50"/>
      <c r="J75" s="66">
        <v>44097</v>
      </c>
      <c r="K75" s="67" t="s">
        <v>299</v>
      </c>
      <c r="L75" s="81">
        <v>157.32</v>
      </c>
      <c r="M75" s="86"/>
      <c r="N75" s="66">
        <v>44098</v>
      </c>
      <c r="O75" s="67" t="s">
        <v>91</v>
      </c>
      <c r="P75" s="93">
        <v>856.34</v>
      </c>
      <c r="Q75" s="176"/>
      <c r="U75" s="111"/>
      <c r="V75" s="111"/>
    </row>
    <row r="76" spans="1:22" ht="15" customHeight="1" thickBot="1" x14ac:dyDescent="0.2">
      <c r="A76" s="135" t="s">
        <v>268</v>
      </c>
      <c r="C76" s="151">
        <f>C46-C47-C48-C58-C73+C74+C75</f>
        <v>-17093.890000000014</v>
      </c>
      <c r="J76" s="66">
        <v>44097</v>
      </c>
      <c r="K76" s="67" t="s">
        <v>103</v>
      </c>
      <c r="L76" s="81">
        <v>588.79999999999995</v>
      </c>
      <c r="M76" s="86"/>
      <c r="N76" s="79" t="s">
        <v>296</v>
      </c>
      <c r="O76" s="67"/>
      <c r="P76" s="87">
        <f>SUM(P77:P78)</f>
        <v>128</v>
      </c>
      <c r="Q76" s="176"/>
    </row>
    <row r="77" spans="1:22" ht="15" customHeight="1" thickTop="1" x14ac:dyDescent="0.15">
      <c r="A77" s="168"/>
      <c r="C77" s="122"/>
      <c r="J77" s="66">
        <v>44104</v>
      </c>
      <c r="K77" s="67" t="s">
        <v>301</v>
      </c>
      <c r="L77" s="82">
        <v>179.99</v>
      </c>
      <c r="M77" s="86"/>
      <c r="N77" s="66">
        <v>44070</v>
      </c>
      <c r="O77" s="67" t="s">
        <v>288</v>
      </c>
      <c r="P77" s="80">
        <v>64</v>
      </c>
      <c r="Q77" s="176"/>
    </row>
    <row r="78" spans="1:22" ht="15" customHeight="1" x14ac:dyDescent="0.15">
      <c r="A78" s="168"/>
      <c r="C78" s="122"/>
      <c r="J78" s="79" t="s">
        <v>182</v>
      </c>
      <c r="K78" s="67"/>
      <c r="L78" s="87">
        <f>SUM(L79:L86)</f>
        <v>5060.0200000000004</v>
      </c>
      <c r="M78" s="86"/>
      <c r="N78" s="66">
        <v>44070</v>
      </c>
      <c r="O78" s="67" t="s">
        <v>288</v>
      </c>
      <c r="P78" s="93">
        <v>64</v>
      </c>
      <c r="Q78" s="176"/>
    </row>
    <row r="79" spans="1:22" ht="15" customHeight="1" x14ac:dyDescent="0.15">
      <c r="C79" s="122"/>
      <c r="J79" s="66">
        <v>44075</v>
      </c>
      <c r="K79" s="67" t="s">
        <v>171</v>
      </c>
      <c r="L79" s="80">
        <v>1287.3499999999999</v>
      </c>
      <c r="M79" s="86"/>
      <c r="N79" s="79" t="s">
        <v>187</v>
      </c>
      <c r="O79" s="67"/>
      <c r="P79" s="87">
        <f>SUM(P80:P81)</f>
        <v>335.5</v>
      </c>
      <c r="Q79" s="176"/>
    </row>
    <row r="80" spans="1:22" ht="15" customHeight="1" x14ac:dyDescent="0.25">
      <c r="C80" s="122"/>
      <c r="J80" s="66">
        <v>44081</v>
      </c>
      <c r="K80" s="67" t="s">
        <v>147</v>
      </c>
      <c r="L80" s="83">
        <v>692.78</v>
      </c>
      <c r="M80" s="86"/>
      <c r="N80" s="66">
        <v>44085</v>
      </c>
      <c r="O80" s="67" t="s">
        <v>163</v>
      </c>
      <c r="P80" s="84">
        <v>137.5</v>
      </c>
    </row>
    <row r="81" spans="3:17" ht="15" customHeight="1" x14ac:dyDescent="0.25">
      <c r="C81" s="122"/>
      <c r="J81" s="66">
        <v>44081</v>
      </c>
      <c r="K81" s="67" t="s">
        <v>176</v>
      </c>
      <c r="L81" s="81">
        <v>920</v>
      </c>
      <c r="M81" s="86"/>
      <c r="N81" s="66">
        <v>44097</v>
      </c>
      <c r="O81" s="67" t="s">
        <v>294</v>
      </c>
      <c r="P81" s="93">
        <v>198</v>
      </c>
    </row>
    <row r="82" spans="3:17" ht="15" customHeight="1" x14ac:dyDescent="0.25">
      <c r="J82" s="66">
        <v>44081</v>
      </c>
      <c r="K82" s="67" t="s">
        <v>55</v>
      </c>
      <c r="L82" s="83">
        <v>339.7</v>
      </c>
      <c r="M82" s="86"/>
      <c r="N82" s="79" t="s">
        <v>183</v>
      </c>
      <c r="O82" s="67"/>
      <c r="P82" s="87">
        <f>SUM(P83:P85)</f>
        <v>31972.080000000002</v>
      </c>
    </row>
    <row r="83" spans="3:17" ht="15" customHeight="1" x14ac:dyDescent="0.25">
      <c r="J83" s="66">
        <v>44089</v>
      </c>
      <c r="K83" s="67" t="s">
        <v>171</v>
      </c>
      <c r="L83" s="81">
        <v>173.8</v>
      </c>
      <c r="M83" s="86"/>
      <c r="N83" s="66">
        <v>44083</v>
      </c>
      <c r="O83" s="67" t="s">
        <v>157</v>
      </c>
      <c r="P83" s="84">
        <v>8486</v>
      </c>
    </row>
    <row r="84" spans="3:17" ht="15" customHeight="1" x14ac:dyDescent="0.25">
      <c r="J84" s="66">
        <v>44091</v>
      </c>
      <c r="K84" s="67" t="s">
        <v>175</v>
      </c>
      <c r="L84" s="81">
        <v>990</v>
      </c>
      <c r="M84" s="86"/>
      <c r="N84" s="66">
        <v>44083</v>
      </c>
      <c r="O84" s="67" t="s">
        <v>158</v>
      </c>
      <c r="P84" s="81">
        <v>5000</v>
      </c>
    </row>
    <row r="85" spans="3:17" ht="15" customHeight="1" x14ac:dyDescent="0.25">
      <c r="J85" s="66">
        <v>44096</v>
      </c>
      <c r="K85" s="67" t="s">
        <v>171</v>
      </c>
      <c r="L85" s="81">
        <v>174.85</v>
      </c>
      <c r="M85" s="86"/>
      <c r="N85" s="66">
        <v>44104</v>
      </c>
      <c r="O85" s="67" t="s">
        <v>11</v>
      </c>
      <c r="P85" s="82">
        <v>18486.080000000002</v>
      </c>
    </row>
    <row r="86" spans="3:17" ht="15" customHeight="1" x14ac:dyDescent="0.25">
      <c r="J86" s="66">
        <v>44096</v>
      </c>
      <c r="K86" s="67" t="s">
        <v>128</v>
      </c>
      <c r="L86" s="82">
        <v>481.54</v>
      </c>
      <c r="M86" s="86"/>
      <c r="N86" s="79" t="s">
        <v>184</v>
      </c>
      <c r="O86" s="67"/>
      <c r="P86" s="87">
        <f>SUM(P87)</f>
        <v>101.2</v>
      </c>
    </row>
    <row r="87" spans="3:17" ht="15" customHeight="1" x14ac:dyDescent="0.25">
      <c r="J87" s="79" t="s">
        <v>159</v>
      </c>
      <c r="K87" s="67"/>
      <c r="L87" s="88">
        <f>SUM(L88:L90)</f>
        <v>4818.3</v>
      </c>
      <c r="M87" s="86"/>
      <c r="N87" s="66">
        <v>44083</v>
      </c>
      <c r="O87" s="67" t="s">
        <v>154</v>
      </c>
      <c r="P87" s="85">
        <v>101.2</v>
      </c>
    </row>
    <row r="88" spans="3:17" ht="15" customHeight="1" x14ac:dyDescent="0.25">
      <c r="J88" s="66">
        <v>44083</v>
      </c>
      <c r="K88" s="67" t="s">
        <v>160</v>
      </c>
      <c r="L88" s="84">
        <v>919</v>
      </c>
      <c r="N88" s="79" t="s">
        <v>185</v>
      </c>
      <c r="O88" s="67"/>
      <c r="P88" s="87">
        <f>SUM(P89:P92)</f>
        <v>6747.62</v>
      </c>
    </row>
    <row r="89" spans="3:17" ht="15" customHeight="1" x14ac:dyDescent="0.25">
      <c r="J89" s="66">
        <v>44084</v>
      </c>
      <c r="K89" s="67" t="s">
        <v>160</v>
      </c>
      <c r="L89" s="81">
        <v>599.29999999999995</v>
      </c>
      <c r="N89" s="66">
        <v>44083</v>
      </c>
      <c r="O89" s="67" t="s">
        <v>93</v>
      </c>
      <c r="P89" s="84">
        <v>3090</v>
      </c>
    </row>
    <row r="90" spans="3:17" ht="15" customHeight="1" x14ac:dyDescent="0.25">
      <c r="J90" s="66">
        <v>44086</v>
      </c>
      <c r="K90" s="67" t="s">
        <v>165</v>
      </c>
      <c r="L90" s="82">
        <v>3300</v>
      </c>
      <c r="N90" s="66">
        <v>44089</v>
      </c>
      <c r="O90" s="67" t="s">
        <v>302</v>
      </c>
      <c r="P90" s="81">
        <v>2061.12</v>
      </c>
    </row>
    <row r="91" spans="3:17" ht="15" customHeight="1" x14ac:dyDescent="0.25">
      <c r="J91" s="79"/>
      <c r="K91" s="67"/>
      <c r="L91" s="88"/>
      <c r="N91" s="66">
        <v>44102</v>
      </c>
      <c r="O91" s="67" t="s">
        <v>93</v>
      </c>
      <c r="P91" s="81">
        <v>566.5</v>
      </c>
    </row>
    <row r="92" spans="3:17" ht="15" customHeight="1" x14ac:dyDescent="0.25">
      <c r="J92" s="66"/>
      <c r="K92" s="67"/>
      <c r="L92" s="50"/>
      <c r="N92" s="66">
        <v>44104</v>
      </c>
      <c r="O92" s="67" t="s">
        <v>93</v>
      </c>
      <c r="P92" s="82">
        <v>1030</v>
      </c>
    </row>
    <row r="93" spans="3:17" x14ac:dyDescent="0.2">
      <c r="J93" s="66"/>
      <c r="K93" s="67"/>
      <c r="L93" s="50"/>
      <c r="N93" s="112"/>
      <c r="O93" s="112"/>
      <c r="P93" s="113"/>
      <c r="Q93" s="174"/>
    </row>
    <row r="94" spans="3:17" x14ac:dyDescent="0.2">
      <c r="J94" s="66"/>
      <c r="K94" s="67"/>
      <c r="L94" s="50"/>
      <c r="N94" s="112"/>
      <c r="O94" s="112"/>
      <c r="P94" s="113"/>
      <c r="Q94" s="174"/>
    </row>
    <row r="95" spans="3:17" x14ac:dyDescent="0.2">
      <c r="J95" s="66"/>
      <c r="K95" s="67"/>
      <c r="L95" s="50"/>
      <c r="N95" s="112"/>
      <c r="O95" s="112"/>
      <c r="P95" s="113"/>
      <c r="Q95" s="174"/>
    </row>
    <row r="96" spans="3:17" x14ac:dyDescent="0.2">
      <c r="J96" s="66"/>
      <c r="K96" s="67"/>
      <c r="L96" s="50"/>
      <c r="N96" s="112"/>
      <c r="O96" s="112"/>
      <c r="P96" s="113"/>
      <c r="Q96" s="174"/>
    </row>
    <row r="97" spans="10:17" x14ac:dyDescent="0.2">
      <c r="J97" s="66"/>
      <c r="K97" s="67"/>
      <c r="L97" s="51"/>
      <c r="N97" s="112"/>
      <c r="O97" s="112"/>
      <c r="P97" s="113"/>
      <c r="Q97" s="174"/>
    </row>
    <row r="98" spans="10:17" x14ac:dyDescent="0.2">
      <c r="J98" s="66"/>
      <c r="K98" s="67"/>
      <c r="L98" s="51"/>
      <c r="N98" s="112"/>
      <c r="O98" s="112"/>
      <c r="P98" s="113"/>
      <c r="Q98" s="174"/>
    </row>
    <row r="99" spans="10:17" x14ac:dyDescent="0.2">
      <c r="J99" s="66"/>
      <c r="K99" s="67"/>
      <c r="L99" s="51"/>
      <c r="N99" s="112"/>
      <c r="O99" s="112"/>
      <c r="P99" s="113"/>
      <c r="Q99" s="174"/>
    </row>
    <row r="100" spans="10:17" x14ac:dyDescent="0.2">
      <c r="J100" s="66"/>
      <c r="K100" s="67"/>
      <c r="L100" s="51"/>
      <c r="N100" s="112"/>
      <c r="O100" s="112"/>
      <c r="P100" s="113"/>
      <c r="Q100" s="176"/>
    </row>
    <row r="101" spans="10:17" x14ac:dyDescent="0.2">
      <c r="J101" s="66"/>
      <c r="K101" s="67"/>
      <c r="L101" s="51"/>
      <c r="N101" s="112"/>
      <c r="O101" s="112"/>
      <c r="P101" s="113"/>
      <c r="Q101" s="176"/>
    </row>
    <row r="102" spans="10:17" x14ac:dyDescent="0.2">
      <c r="J102" s="66"/>
      <c r="K102" s="67"/>
      <c r="L102" s="51"/>
      <c r="N102" s="112"/>
      <c r="O102" s="112"/>
      <c r="P102" s="113"/>
      <c r="Q102" s="176"/>
    </row>
    <row r="103" spans="10:17" x14ac:dyDescent="0.2">
      <c r="J103" s="66"/>
      <c r="K103" s="67"/>
      <c r="L103" s="50"/>
      <c r="N103" s="114"/>
      <c r="O103" s="114"/>
      <c r="P103" s="115"/>
      <c r="Q103" s="176"/>
    </row>
    <row r="104" spans="10:17" x14ac:dyDescent="0.2">
      <c r="J104" s="79"/>
      <c r="K104" s="67"/>
      <c r="L104" s="87"/>
      <c r="N104" s="114"/>
      <c r="O104" s="114"/>
      <c r="P104" s="115"/>
      <c r="Q104" s="176"/>
    </row>
    <row r="105" spans="10:17" x14ac:dyDescent="0.2">
      <c r="J105" s="66"/>
      <c r="K105" s="67"/>
      <c r="L105" s="50"/>
      <c r="N105" s="116"/>
      <c r="O105" s="116"/>
      <c r="P105" s="117"/>
      <c r="Q105" s="176"/>
    </row>
    <row r="106" spans="10:17" x14ac:dyDescent="0.15">
      <c r="J106" s="66"/>
      <c r="K106" s="67"/>
      <c r="L106" s="50"/>
      <c r="P106" s="120"/>
      <c r="Q106" s="176"/>
    </row>
    <row r="107" spans="10:17" x14ac:dyDescent="0.15">
      <c r="J107" s="79"/>
      <c r="K107" s="67"/>
      <c r="L107" s="87"/>
      <c r="P107" s="120"/>
      <c r="Q107" s="176"/>
    </row>
    <row r="108" spans="10:17" x14ac:dyDescent="0.15">
      <c r="J108" s="66"/>
      <c r="K108" s="67"/>
      <c r="L108" s="51"/>
      <c r="P108" s="120"/>
      <c r="Q108" s="176"/>
    </row>
    <row r="109" spans="10:17" x14ac:dyDescent="0.25">
      <c r="J109" s="66"/>
      <c r="K109" s="67"/>
      <c r="L109" s="50"/>
      <c r="P109" s="120"/>
    </row>
    <row r="110" spans="10:17" x14ac:dyDescent="0.25">
      <c r="J110" s="79"/>
      <c r="K110" s="67"/>
      <c r="L110" s="87"/>
      <c r="P110" s="120"/>
    </row>
    <row r="111" spans="10:17" x14ac:dyDescent="0.25">
      <c r="J111" s="66"/>
      <c r="K111" s="67"/>
      <c r="L111" s="51"/>
      <c r="P111" s="120"/>
    </row>
    <row r="112" spans="10:17" x14ac:dyDescent="0.25">
      <c r="J112" s="66"/>
      <c r="K112" s="67"/>
      <c r="L112" s="51"/>
      <c r="P112" s="120"/>
    </row>
    <row r="113" spans="10:16" x14ac:dyDescent="0.25">
      <c r="J113" s="66"/>
      <c r="K113" s="67"/>
      <c r="L113" s="51"/>
      <c r="P113" s="120"/>
    </row>
    <row r="114" spans="10:16" x14ac:dyDescent="0.25">
      <c r="J114" s="79"/>
      <c r="K114" s="67"/>
      <c r="L114" s="87"/>
      <c r="P114" s="120"/>
    </row>
    <row r="115" spans="10:16" x14ac:dyDescent="0.25">
      <c r="J115" s="66"/>
      <c r="K115" s="67"/>
      <c r="L115" s="51"/>
      <c r="P115" s="120"/>
    </row>
    <row r="116" spans="10:16" x14ac:dyDescent="0.25">
      <c r="J116" s="79"/>
      <c r="K116" s="67"/>
      <c r="L116" s="87"/>
      <c r="P116" s="120"/>
    </row>
    <row r="117" spans="10:16" x14ac:dyDescent="0.25">
      <c r="J117" s="66"/>
      <c r="K117" s="67"/>
      <c r="L117" s="51"/>
      <c r="P117" s="120"/>
    </row>
    <row r="118" spans="10:16" x14ac:dyDescent="0.25">
      <c r="J118" s="66"/>
      <c r="K118" s="67"/>
      <c r="L118" s="51"/>
      <c r="P118" s="120"/>
    </row>
    <row r="119" spans="10:16" x14ac:dyDescent="0.25">
      <c r="J119" s="66"/>
      <c r="K119" s="67"/>
      <c r="L119" s="51"/>
      <c r="P119" s="120"/>
    </row>
    <row r="120" spans="10:16" x14ac:dyDescent="0.25">
      <c r="J120" s="66"/>
      <c r="K120" s="67"/>
      <c r="L120" s="51"/>
      <c r="P120" s="120"/>
    </row>
    <row r="121" spans="10:16" x14ac:dyDescent="0.25">
      <c r="P121" s="120"/>
    </row>
    <row r="122" spans="10:16" x14ac:dyDescent="0.25">
      <c r="P122" s="120"/>
    </row>
    <row r="123" spans="10:16" x14ac:dyDescent="0.25">
      <c r="P123" s="120"/>
    </row>
    <row r="124" spans="10:16" x14ac:dyDescent="0.25">
      <c r="P124" s="120"/>
    </row>
    <row r="125" spans="10:16" x14ac:dyDescent="0.25">
      <c r="P125" s="120"/>
    </row>
    <row r="126" spans="10:16" x14ac:dyDescent="0.25">
      <c r="P126" s="120"/>
    </row>
    <row r="127" spans="10:16" x14ac:dyDescent="0.25">
      <c r="P127" s="120"/>
    </row>
    <row r="128" spans="10:16" x14ac:dyDescent="0.25">
      <c r="P128" s="120"/>
    </row>
    <row r="129" spans="16:16" x14ac:dyDescent="0.25">
      <c r="P129" s="120"/>
    </row>
    <row r="130" spans="16:16" x14ac:dyDescent="0.25">
      <c r="P130" s="120"/>
    </row>
    <row r="131" spans="16:16" x14ac:dyDescent="0.25">
      <c r="P131" s="120"/>
    </row>
    <row r="132" spans="16:16" x14ac:dyDescent="0.25">
      <c r="P132" s="120"/>
    </row>
    <row r="133" spans="16:16" x14ac:dyDescent="0.25">
      <c r="P133" s="120"/>
    </row>
    <row r="134" spans="16:16" x14ac:dyDescent="0.25">
      <c r="P134" s="120"/>
    </row>
    <row r="135" spans="16:16" x14ac:dyDescent="0.25">
      <c r="P135" s="120"/>
    </row>
    <row r="136" spans="16:16" x14ac:dyDescent="0.25">
      <c r="P136" s="120"/>
    </row>
    <row r="137" spans="16:16" x14ac:dyDescent="0.25">
      <c r="P137" s="120"/>
    </row>
    <row r="138" spans="16:16" x14ac:dyDescent="0.25">
      <c r="P138" s="120"/>
    </row>
    <row r="139" spans="16:16" x14ac:dyDescent="0.25">
      <c r="P139" s="120"/>
    </row>
    <row r="140" spans="16:16" x14ac:dyDescent="0.25">
      <c r="P140" s="120"/>
    </row>
    <row r="141" spans="16:16" x14ac:dyDescent="0.25">
      <c r="P141" s="120"/>
    </row>
    <row r="142" spans="16:16" x14ac:dyDescent="0.25">
      <c r="P142" s="120"/>
    </row>
    <row r="143" spans="16:16" x14ac:dyDescent="0.25">
      <c r="P143" s="120"/>
    </row>
    <row r="144" spans="16:16" x14ac:dyDescent="0.25">
      <c r="P144" s="120"/>
    </row>
    <row r="145" spans="16:16" x14ac:dyDescent="0.25">
      <c r="P145" s="120"/>
    </row>
    <row r="146" spans="16:16" x14ac:dyDescent="0.25">
      <c r="P146" s="120"/>
    </row>
    <row r="147" spans="16:16" x14ac:dyDescent="0.25">
      <c r="P147" s="120"/>
    </row>
    <row r="148" spans="16:16" x14ac:dyDescent="0.25">
      <c r="P148" s="120"/>
    </row>
    <row r="149" spans="16:16" x14ac:dyDescent="0.25">
      <c r="P149" s="120"/>
    </row>
    <row r="150" spans="16:16" x14ac:dyDescent="0.25">
      <c r="P150" s="120"/>
    </row>
    <row r="151" spans="16:16" x14ac:dyDescent="0.25">
      <c r="P151" s="120"/>
    </row>
    <row r="152" spans="16:16" x14ac:dyDescent="0.25">
      <c r="P152" s="120"/>
    </row>
    <row r="153" spans="16:16" x14ac:dyDescent="0.25">
      <c r="P153" s="120"/>
    </row>
    <row r="154" spans="16:16" x14ac:dyDescent="0.25">
      <c r="P154" s="120"/>
    </row>
    <row r="155" spans="16:16" x14ac:dyDescent="0.25">
      <c r="P155" s="120"/>
    </row>
    <row r="156" spans="16:16" x14ac:dyDescent="0.25">
      <c r="P156" s="120"/>
    </row>
    <row r="157" spans="16:16" x14ac:dyDescent="0.25">
      <c r="P157" s="120"/>
    </row>
    <row r="158" spans="16:16" x14ac:dyDescent="0.25">
      <c r="P158" s="120"/>
    </row>
    <row r="159" spans="16:16" x14ac:dyDescent="0.25">
      <c r="P159" s="120"/>
    </row>
    <row r="160" spans="16:16" x14ac:dyDescent="0.25">
      <c r="P160" s="120"/>
    </row>
    <row r="164" spans="14:15" x14ac:dyDescent="0.25">
      <c r="N164" s="86"/>
      <c r="O164" s="86"/>
    </row>
  </sheetData>
  <mergeCells count="11">
    <mergeCell ref="A45:H45"/>
    <mergeCell ref="A5:C5"/>
    <mergeCell ref="A6:A7"/>
    <mergeCell ref="B6:B7"/>
    <mergeCell ref="C6:C7"/>
    <mergeCell ref="E6:E7"/>
    <mergeCell ref="D6:D7"/>
    <mergeCell ref="F6:G7"/>
    <mergeCell ref="F8:G8"/>
    <mergeCell ref="F9:G9"/>
    <mergeCell ref="H6:H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opLeftCell="A22" workbookViewId="0">
      <selection activeCell="C45" sqref="C45"/>
    </sheetView>
  </sheetViews>
  <sheetFormatPr defaultRowHeight="15" x14ac:dyDescent="0.25"/>
  <cols>
    <col min="1" max="3" width="16.7109375" style="35" customWidth="1"/>
    <col min="4" max="4" width="1.140625" style="35" customWidth="1"/>
    <col min="5" max="7" width="16.7109375" style="35" customWidth="1"/>
    <col min="8" max="8" width="9.140625" style="35"/>
    <col min="9" max="9" width="17.140625" style="35" customWidth="1"/>
    <col min="10" max="16384" width="9.140625" style="35"/>
  </cols>
  <sheetData>
    <row r="1" spans="1:7" x14ac:dyDescent="0.25">
      <c r="A1" s="37" t="s">
        <v>68</v>
      </c>
      <c r="B1" s="37"/>
      <c r="C1" s="37"/>
      <c r="D1" s="37"/>
    </row>
    <row r="2" spans="1:7" ht="23.25" x14ac:dyDescent="0.35">
      <c r="A2" s="38" t="s">
        <v>69</v>
      </c>
      <c r="B2" s="38"/>
      <c r="C2" s="38"/>
      <c r="D2" s="38"/>
    </row>
    <row r="3" spans="1:7" x14ac:dyDescent="0.25">
      <c r="G3" s="64">
        <v>44071</v>
      </c>
    </row>
    <row r="4" spans="1:7" x14ac:dyDescent="0.25">
      <c r="A4" s="39" t="s">
        <v>70</v>
      </c>
    </row>
    <row r="5" spans="1:7" ht="15.75" thickBot="1" x14ac:dyDescent="0.3">
      <c r="A5" s="92" t="s">
        <v>71</v>
      </c>
      <c r="B5" s="92"/>
      <c r="C5" s="92"/>
      <c r="D5" s="63"/>
      <c r="E5" s="40"/>
      <c r="F5" s="40" t="s">
        <v>72</v>
      </c>
      <c r="G5" s="40"/>
    </row>
    <row r="6" spans="1:7" s="43" customFormat="1" ht="24" customHeight="1" thickTop="1" x14ac:dyDescent="0.25">
      <c r="A6" s="41" t="s">
        <v>73</v>
      </c>
      <c r="B6" s="41" t="s">
        <v>74</v>
      </c>
      <c r="C6" s="42" t="s">
        <v>58</v>
      </c>
      <c r="D6" s="41"/>
      <c r="E6" s="61" t="s">
        <v>73</v>
      </c>
      <c r="F6" s="41" t="s">
        <v>74</v>
      </c>
      <c r="G6" s="41" t="s">
        <v>58</v>
      </c>
    </row>
    <row r="7" spans="1:7" x14ac:dyDescent="0.25">
      <c r="A7" s="44">
        <f>'[1]AUGUST ''20'!$C$10+'[1]AUGUST ''20'!$C$13+'[1]AUGUST ''20'!$C$20+'[1]AUGUST ''20'!$G$5</f>
        <v>12604</v>
      </c>
      <c r="B7" s="44">
        <f>'[1]AUGUST ''20'!$C$15+'[1]AUGUST ''20'!$C$16</f>
        <v>14358.9</v>
      </c>
      <c r="C7" s="45" t="str">
        <f>'[1]AUGUST ''20'!$D$42</f>
        <v>SAN01</v>
      </c>
      <c r="D7" s="44"/>
      <c r="E7" s="62">
        <f>SUM('[1]AUGUST ''20'!$E$6:$E$17,'[1]AUGUST ''20'!$E$22)</f>
        <v>85627.199999999997</v>
      </c>
      <c r="F7" s="44">
        <f>'[1]AUGUST ''20'!$E$18+'[1]AUGUST ''20'!$E$25</f>
        <v>18285</v>
      </c>
      <c r="G7" s="44">
        <f>'[1]AUGUST ''20'!$F$42</f>
        <v>0</v>
      </c>
    </row>
    <row r="8" spans="1:7" x14ac:dyDescent="0.25">
      <c r="A8" s="46" t="s">
        <v>75</v>
      </c>
      <c r="B8" s="35">
        <f>SUM(A7:C7)</f>
        <v>26962.9</v>
      </c>
      <c r="E8" s="46" t="s">
        <v>75</v>
      </c>
      <c r="F8" s="35">
        <f>SUM(E7:G7)</f>
        <v>103912.2</v>
      </c>
    </row>
    <row r="9" spans="1:7" ht="15.75" thickBot="1" x14ac:dyDescent="0.3">
      <c r="A9" s="47" t="s">
        <v>75</v>
      </c>
      <c r="B9" s="36">
        <f>B8+F8</f>
        <v>130875.1</v>
      </c>
    </row>
    <row r="10" spans="1:7" ht="15.75" thickTop="1" x14ac:dyDescent="0.25"/>
    <row r="11" spans="1:7" x14ac:dyDescent="0.25">
      <c r="A11" s="39" t="s">
        <v>76</v>
      </c>
    </row>
    <row r="12" spans="1:7" x14ac:dyDescent="0.25">
      <c r="A12" s="48" t="s">
        <v>77</v>
      </c>
      <c r="B12" s="35">
        <f>SUM(C13:C23)</f>
        <v>255797.8</v>
      </c>
      <c r="C12" s="49" t="s">
        <v>98</v>
      </c>
      <c r="D12" s="49"/>
      <c r="E12" s="52">
        <v>44063</v>
      </c>
      <c r="F12" s="51" t="s">
        <v>78</v>
      </c>
      <c r="G12" s="51">
        <v>3000</v>
      </c>
    </row>
    <row r="13" spans="1:7" x14ac:dyDescent="0.25">
      <c r="B13" s="70" t="s">
        <v>104</v>
      </c>
      <c r="C13" s="71">
        <f>G39+G40+G41+G27</f>
        <v>34833.17</v>
      </c>
      <c r="E13" s="52">
        <v>44047</v>
      </c>
      <c r="F13" s="51" t="s">
        <v>80</v>
      </c>
      <c r="G13" s="50">
        <v>253.69</v>
      </c>
    </row>
    <row r="14" spans="1:7" x14ac:dyDescent="0.25">
      <c r="B14" s="72" t="s">
        <v>81</v>
      </c>
      <c r="C14" s="73">
        <f>G15+G16+G17+G18+G24+G26+G28+G30+G31+G32+G43+G29+G44+G45+G47+G38</f>
        <v>133776.38</v>
      </c>
      <c r="E14" s="52">
        <v>44047</v>
      </c>
      <c r="F14" s="51" t="s">
        <v>93</v>
      </c>
      <c r="G14" s="50">
        <v>1018</v>
      </c>
    </row>
    <row r="15" spans="1:7" x14ac:dyDescent="0.25">
      <c r="B15" s="72" t="s">
        <v>79</v>
      </c>
      <c r="C15" s="73">
        <f>G13+G46</f>
        <v>385.19</v>
      </c>
      <c r="E15" s="52">
        <v>44049</v>
      </c>
      <c r="F15" s="51" t="s">
        <v>82</v>
      </c>
      <c r="G15" s="50">
        <v>1975.13</v>
      </c>
    </row>
    <row r="16" spans="1:7" x14ac:dyDescent="0.25">
      <c r="B16" s="72" t="s">
        <v>105</v>
      </c>
      <c r="C16" s="73">
        <f>G19</f>
        <v>1337.2</v>
      </c>
      <c r="E16" s="52">
        <v>44055</v>
      </c>
      <c r="F16" s="51" t="s">
        <v>83</v>
      </c>
      <c r="G16" s="50">
        <v>483</v>
      </c>
    </row>
    <row r="17" spans="1:7" x14ac:dyDescent="0.25">
      <c r="B17" s="72" t="s">
        <v>106</v>
      </c>
      <c r="C17" s="73">
        <f>G12+G25+G14</f>
        <v>6078</v>
      </c>
      <c r="E17" s="52">
        <v>44055</v>
      </c>
      <c r="F17" s="51" t="s">
        <v>84</v>
      </c>
      <c r="G17" s="50">
        <v>1083.76</v>
      </c>
    </row>
    <row r="18" spans="1:7" x14ac:dyDescent="0.25">
      <c r="B18" s="72" t="s">
        <v>107</v>
      </c>
      <c r="C18" s="73">
        <f>G20+G21+G22+G33</f>
        <v>34503.61</v>
      </c>
      <c r="E18" s="52">
        <v>44055</v>
      </c>
      <c r="F18" s="51" t="s">
        <v>85</v>
      </c>
      <c r="G18" s="50">
        <v>6670</v>
      </c>
    </row>
    <row r="19" spans="1:7" x14ac:dyDescent="0.25">
      <c r="B19" s="72" t="s">
        <v>90</v>
      </c>
      <c r="C19" s="73">
        <f>G23</f>
        <v>500.56</v>
      </c>
      <c r="E19" s="52">
        <v>44055</v>
      </c>
      <c r="F19" s="51" t="s">
        <v>86</v>
      </c>
      <c r="G19" s="51">
        <v>1337.2</v>
      </c>
    </row>
    <row r="20" spans="1:7" x14ac:dyDescent="0.25">
      <c r="B20" s="72" t="s">
        <v>132</v>
      </c>
      <c r="C20" s="73">
        <f>G37</f>
        <v>431.25</v>
      </c>
      <c r="E20" s="52">
        <v>44056</v>
      </c>
      <c r="F20" s="51" t="s">
        <v>87</v>
      </c>
      <c r="G20" s="51">
        <v>8881.73</v>
      </c>
    </row>
    <row r="21" spans="1:7" x14ac:dyDescent="0.25">
      <c r="B21" s="72" t="s">
        <v>134</v>
      </c>
      <c r="C21" s="73">
        <f>G35+G36</f>
        <v>33486.080000000002</v>
      </c>
      <c r="E21" s="52">
        <v>44056</v>
      </c>
      <c r="F21" s="51" t="s">
        <v>88</v>
      </c>
      <c r="G21" s="51">
        <v>2683.56</v>
      </c>
    </row>
    <row r="22" spans="1:7" x14ac:dyDescent="0.25">
      <c r="B22" s="72" t="s">
        <v>129</v>
      </c>
      <c r="C22" s="73">
        <f>G34</f>
        <v>2400</v>
      </c>
      <c r="E22" s="52">
        <v>44056</v>
      </c>
      <c r="F22" s="51" t="s">
        <v>89</v>
      </c>
      <c r="G22" s="51">
        <v>22153</v>
      </c>
    </row>
    <row r="23" spans="1:7" x14ac:dyDescent="0.25">
      <c r="B23" s="74" t="s">
        <v>108</v>
      </c>
      <c r="C23" s="75">
        <f>G42</f>
        <v>8066.36</v>
      </c>
      <c r="E23" s="52">
        <v>44059</v>
      </c>
      <c r="F23" s="51" t="s">
        <v>91</v>
      </c>
      <c r="G23" s="51">
        <v>500.56</v>
      </c>
    </row>
    <row r="24" spans="1:7" x14ac:dyDescent="0.25">
      <c r="A24" s="35" t="s">
        <v>136</v>
      </c>
      <c r="C24" s="35">
        <f>B12-G20-G21-G22</f>
        <v>222079.50999999998</v>
      </c>
      <c r="E24" s="52">
        <v>44062</v>
      </c>
      <c r="F24" s="51" t="s">
        <v>92</v>
      </c>
      <c r="G24" s="51">
        <v>39313.9</v>
      </c>
    </row>
    <row r="25" spans="1:7" x14ac:dyDescent="0.25">
      <c r="A25" s="35" t="s">
        <v>109</v>
      </c>
      <c r="B25" s="35">
        <f>2475.72+5167.82+59.9+116.44+1814.53+178+1103.62+106.58+408.11+1282.25+56.73+1163.44+655.16+126.6+74.99+976.19+253.69+158+614.09+925+56.73+161.9</f>
        <v>17935.490000000002</v>
      </c>
      <c r="E25" s="52">
        <v>44063</v>
      </c>
      <c r="F25" s="51" t="s">
        <v>93</v>
      </c>
      <c r="G25" s="51">
        <v>2060</v>
      </c>
    </row>
    <row r="26" spans="1:7" x14ac:dyDescent="0.25">
      <c r="E26" s="52">
        <v>44063</v>
      </c>
      <c r="F26" s="51" t="s">
        <v>16</v>
      </c>
      <c r="G26" s="51">
        <v>62760.1</v>
      </c>
    </row>
    <row r="27" spans="1:7" x14ac:dyDescent="0.25">
      <c r="A27" s="35" t="s">
        <v>110</v>
      </c>
      <c r="B27" s="69" t="s">
        <v>135</v>
      </c>
      <c r="C27" s="35">
        <v>-237011.3</v>
      </c>
      <c r="E27" s="52">
        <v>44063</v>
      </c>
      <c r="F27" s="51" t="s">
        <v>94</v>
      </c>
      <c r="G27" s="51">
        <v>6345.7</v>
      </c>
    </row>
    <row r="28" spans="1:7" x14ac:dyDescent="0.25">
      <c r="A28" s="35" t="s">
        <v>111</v>
      </c>
      <c r="C28" s="35">
        <f>SUM(C29:C32)</f>
        <v>0</v>
      </c>
      <c r="E28" s="52">
        <v>44063</v>
      </c>
      <c r="F28" s="51" t="s">
        <v>95</v>
      </c>
      <c r="G28" s="51">
        <v>214.2</v>
      </c>
    </row>
    <row r="29" spans="1:7" x14ac:dyDescent="0.25">
      <c r="A29" s="48" t="s">
        <v>1</v>
      </c>
      <c r="C29" s="55" t="str">
        <f>'[1]JULY ''20'!$C$66</f>
        <v>ü</v>
      </c>
      <c r="E29" s="52">
        <v>44064</v>
      </c>
      <c r="F29" s="51" t="s">
        <v>113</v>
      </c>
      <c r="G29" s="51">
        <v>14544.87</v>
      </c>
    </row>
    <row r="30" spans="1:7" x14ac:dyDescent="0.25">
      <c r="A30" s="48" t="s">
        <v>26</v>
      </c>
      <c r="C30" s="56" t="str">
        <f>'[1]JULY ''20'!$E$66</f>
        <v>ü</v>
      </c>
      <c r="E30" s="52">
        <v>44067</v>
      </c>
      <c r="F30" s="51" t="s">
        <v>96</v>
      </c>
      <c r="G30" s="51">
        <v>690</v>
      </c>
    </row>
    <row r="31" spans="1:7" x14ac:dyDescent="0.25">
      <c r="A31" s="48" t="s">
        <v>3</v>
      </c>
      <c r="C31" s="56" t="str">
        <f>'[1]JULY ''20'!$F$66</f>
        <v>ü</v>
      </c>
      <c r="E31" s="52">
        <v>44067</v>
      </c>
      <c r="F31" s="51" t="s">
        <v>97</v>
      </c>
      <c r="G31" s="51">
        <v>1290</v>
      </c>
    </row>
    <row r="32" spans="1:7" x14ac:dyDescent="0.25">
      <c r="A32" s="48" t="s">
        <v>6</v>
      </c>
      <c r="C32" s="57" t="str">
        <f>'[1]JULY ''20'!$G$66</f>
        <v>ü</v>
      </c>
      <c r="E32" s="52">
        <v>44069</v>
      </c>
      <c r="F32" s="51" t="s">
        <v>96</v>
      </c>
      <c r="G32" s="51">
        <v>3410.1</v>
      </c>
    </row>
    <row r="33" spans="1:9" x14ac:dyDescent="0.25">
      <c r="A33" s="54" t="s">
        <v>115</v>
      </c>
      <c r="E33" s="66">
        <v>44071</v>
      </c>
      <c r="F33" s="67" t="s">
        <v>128</v>
      </c>
      <c r="G33" s="68">
        <v>785.32</v>
      </c>
    </row>
    <row r="34" spans="1:9" x14ac:dyDescent="0.25">
      <c r="A34" s="48" t="s">
        <v>116</v>
      </c>
      <c r="B34" s="35">
        <f>'[1]JULY ''20'!$D$68</f>
        <v>0</v>
      </c>
      <c r="E34" s="66">
        <v>44071</v>
      </c>
      <c r="F34" s="67" t="s">
        <v>130</v>
      </c>
      <c r="G34" s="68">
        <v>2400</v>
      </c>
    </row>
    <row r="35" spans="1:9" x14ac:dyDescent="0.25">
      <c r="A35" s="48" t="s">
        <v>117</v>
      </c>
      <c r="B35" s="35" t="str">
        <f>'[1]JULY ''20'!$H$68</f>
        <v>ü</v>
      </c>
      <c r="E35" s="66">
        <v>44071</v>
      </c>
      <c r="F35" s="67" t="s">
        <v>11</v>
      </c>
      <c r="G35" s="68">
        <v>18486.080000000002</v>
      </c>
    </row>
    <row r="36" spans="1:9" x14ac:dyDescent="0.25">
      <c r="A36" s="48" t="s">
        <v>118</v>
      </c>
      <c r="B36" s="35" t="str">
        <f>'[1]JULY ''20'!$I$68</f>
        <v>ü</v>
      </c>
      <c r="E36" s="66">
        <v>44071</v>
      </c>
      <c r="F36" s="67" t="s">
        <v>131</v>
      </c>
      <c r="G36" s="68">
        <v>15000</v>
      </c>
    </row>
    <row r="37" spans="1:9" x14ac:dyDescent="0.25">
      <c r="A37" s="35" t="s">
        <v>112</v>
      </c>
      <c r="C37" s="35">
        <v>-84500</v>
      </c>
      <c r="E37" s="66">
        <v>44071</v>
      </c>
      <c r="F37" s="67" t="s">
        <v>133</v>
      </c>
      <c r="G37" s="68">
        <v>431.25</v>
      </c>
    </row>
    <row r="38" spans="1:9" x14ac:dyDescent="0.25">
      <c r="A38" s="35" t="s">
        <v>10</v>
      </c>
      <c r="B38" s="53"/>
      <c r="C38" s="53">
        <f>-(74201.03-18486.08-15000)</f>
        <v>-40714.949999999997</v>
      </c>
      <c r="E38" s="66">
        <v>44071</v>
      </c>
      <c r="F38" s="67" t="s">
        <v>116</v>
      </c>
      <c r="G38" s="68">
        <v>353.4</v>
      </c>
    </row>
    <row r="39" spans="1:9" x14ac:dyDescent="0.25">
      <c r="A39" s="58" t="s">
        <v>114</v>
      </c>
      <c r="C39" s="35">
        <f>C27+C28+C37+C38</f>
        <v>-362226.25</v>
      </c>
      <c r="E39" s="52">
        <v>44056</v>
      </c>
      <c r="F39" s="51" t="s">
        <v>47</v>
      </c>
      <c r="G39" s="50">
        <v>1996.4</v>
      </c>
    </row>
    <row r="40" spans="1:9" ht="15.75" thickBot="1" x14ac:dyDescent="0.3">
      <c r="A40" s="59" t="s">
        <v>119</v>
      </c>
      <c r="C40" s="60">
        <f>300000+C39</f>
        <v>-62226.25</v>
      </c>
      <c r="E40" s="52">
        <v>44060</v>
      </c>
      <c r="F40" s="51" t="s">
        <v>40</v>
      </c>
      <c r="G40" s="51">
        <v>25897.1</v>
      </c>
      <c r="H40" s="51"/>
    </row>
    <row r="41" spans="1:9" ht="15.75" thickTop="1" x14ac:dyDescent="0.25">
      <c r="E41" s="52">
        <v>44063</v>
      </c>
      <c r="F41" s="51" t="s">
        <v>51</v>
      </c>
      <c r="G41" s="51">
        <v>593.97</v>
      </c>
      <c r="H41" s="51"/>
    </row>
    <row r="42" spans="1:9" x14ac:dyDescent="0.25">
      <c r="A42" s="35" t="s">
        <v>120</v>
      </c>
      <c r="C42" s="35">
        <f>SUM(C43:C49)</f>
        <v>45306.895499999999</v>
      </c>
      <c r="E42" s="52">
        <v>44067</v>
      </c>
      <c r="F42" s="51" t="s">
        <v>99</v>
      </c>
      <c r="G42" s="51">
        <v>8066.36</v>
      </c>
      <c r="H42" s="51"/>
    </row>
    <row r="43" spans="1:9" x14ac:dyDescent="0.25">
      <c r="A43" s="48" t="s">
        <v>121</v>
      </c>
      <c r="C43" s="55">
        <f>[2]CREDITORS!$G$42</f>
        <v>0</v>
      </c>
      <c r="E43" s="52">
        <v>44047</v>
      </c>
      <c r="F43" s="51" t="s">
        <v>100</v>
      </c>
      <c r="G43" s="50">
        <v>513</v>
      </c>
      <c r="H43" s="51"/>
    </row>
    <row r="44" spans="1:9" x14ac:dyDescent="0.25">
      <c r="A44" s="48" t="s">
        <v>34</v>
      </c>
      <c r="C44" s="56">
        <v>4005.45</v>
      </c>
      <c r="E44" s="52">
        <v>44049</v>
      </c>
      <c r="F44" s="51" t="s">
        <v>101</v>
      </c>
      <c r="G44" s="50">
        <v>79.819999999999993</v>
      </c>
      <c r="H44" s="51"/>
    </row>
    <row r="45" spans="1:9" x14ac:dyDescent="0.25">
      <c r="A45" s="48" t="s">
        <v>127</v>
      </c>
      <c r="C45" s="56">
        <v>1288.58</v>
      </c>
      <c r="E45" s="52">
        <v>44049</v>
      </c>
      <c r="F45" s="51" t="s">
        <v>100</v>
      </c>
      <c r="G45" s="50">
        <v>120</v>
      </c>
      <c r="H45" s="51"/>
    </row>
    <row r="46" spans="1:9" x14ac:dyDescent="0.25">
      <c r="A46" s="48" t="s">
        <v>122</v>
      </c>
      <c r="B46" s="65" t="s">
        <v>126</v>
      </c>
      <c r="C46" s="56">
        <f>[2]CREDITORS!$G$46</f>
        <v>9022.9</v>
      </c>
      <c r="E46" s="52">
        <v>44049</v>
      </c>
      <c r="F46" s="51" t="s">
        <v>102</v>
      </c>
      <c r="G46" s="50">
        <v>131.5</v>
      </c>
      <c r="H46" s="51"/>
    </row>
    <row r="47" spans="1:9" x14ac:dyDescent="0.25">
      <c r="A47" s="48" t="s">
        <v>51</v>
      </c>
      <c r="C47" s="56">
        <f>[2]CREDITORS!$G$67</f>
        <v>9229.9</v>
      </c>
      <c r="E47" s="52">
        <v>44049</v>
      </c>
      <c r="F47" s="51" t="s">
        <v>103</v>
      </c>
      <c r="G47" s="50">
        <v>275.10000000000002</v>
      </c>
      <c r="H47" s="51"/>
      <c r="I47" s="35">
        <f>SUM(G12:G47)</f>
        <v>255797.80000000002</v>
      </c>
    </row>
    <row r="48" spans="1:9" x14ac:dyDescent="0.25">
      <c r="A48" s="48" t="s">
        <v>123</v>
      </c>
      <c r="C48" s="56">
        <f>12986.77*1.15</f>
        <v>14934.7855</v>
      </c>
      <c r="E48" s="52"/>
      <c r="F48" s="51"/>
      <c r="G48" s="50"/>
      <c r="H48" s="51"/>
    </row>
    <row r="49" spans="1:8" x14ac:dyDescent="0.25">
      <c r="A49" s="48" t="s">
        <v>124</v>
      </c>
      <c r="C49" s="57">
        <v>6825.28</v>
      </c>
      <c r="E49" s="50"/>
      <c r="F49" s="50"/>
      <c r="G49" s="51"/>
      <c r="H49" s="51"/>
    </row>
    <row r="50" spans="1:8" x14ac:dyDescent="0.25">
      <c r="A50" s="35" t="s">
        <v>125</v>
      </c>
      <c r="C50" s="35">
        <f>14000*5</f>
        <v>70000</v>
      </c>
      <c r="E50" s="50"/>
      <c r="F50" s="50"/>
      <c r="G50" s="51"/>
      <c r="H50" s="51"/>
    </row>
    <row r="51" spans="1:8" x14ac:dyDescent="0.25">
      <c r="E51" s="50"/>
      <c r="F51" s="50"/>
      <c r="G51" s="51"/>
      <c r="H51" s="51"/>
    </row>
    <row r="52" spans="1:8" ht="15.75" x14ac:dyDescent="0.25">
      <c r="A52" s="76" t="s">
        <v>137</v>
      </c>
      <c r="C52" s="77"/>
      <c r="E52" s="50"/>
      <c r="F52" s="50"/>
      <c r="G52" s="51"/>
    </row>
    <row r="53" spans="1:8" x14ac:dyDescent="0.25">
      <c r="A53" s="35" t="s">
        <v>138</v>
      </c>
      <c r="C53" s="53">
        <f>C39</f>
        <v>-362226.25</v>
      </c>
    </row>
    <row r="54" spans="1:8" x14ac:dyDescent="0.25">
      <c r="A54" s="48" t="s">
        <v>120</v>
      </c>
      <c r="C54" s="35">
        <f>-C42</f>
        <v>-45306.895499999999</v>
      </c>
      <c r="E54" s="78" t="s">
        <v>141</v>
      </c>
    </row>
    <row r="55" spans="1:8" x14ac:dyDescent="0.25">
      <c r="A55" s="48" t="s">
        <v>139</v>
      </c>
      <c r="C55" s="35" t="e">
        <f>B34+B35+B36+B7+F7</f>
        <v>#VALUE!</v>
      </c>
    </row>
    <row r="56" spans="1:8" x14ac:dyDescent="0.25">
      <c r="A56" s="48" t="s">
        <v>140</v>
      </c>
      <c r="C56" s="35">
        <f>-C50</f>
        <v>-70000</v>
      </c>
    </row>
    <row r="57" spans="1:8" x14ac:dyDescent="0.25">
      <c r="C57" s="53"/>
    </row>
    <row r="58" spans="1:8" x14ac:dyDescent="0.25">
      <c r="C58" s="35" t="e">
        <f>SUM(C53:C57)</f>
        <v>#VALUE!</v>
      </c>
    </row>
  </sheetData>
  <mergeCells count="1">
    <mergeCell ref="A5:C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E6" sqref="E6"/>
    </sheetView>
  </sheetViews>
  <sheetFormatPr defaultRowHeight="12.75" x14ac:dyDescent="0.2"/>
  <cols>
    <col min="1" max="1" width="1.7109375" style="5" customWidth="1"/>
    <col min="2" max="2" width="6.42578125" style="15" customWidth="1"/>
    <col min="3" max="3" width="18.5703125" style="5" customWidth="1"/>
    <col min="4" max="4" width="10.28515625" style="2" customWidth="1"/>
    <col min="5" max="5" width="12.5703125" style="2" customWidth="1"/>
    <col min="6" max="6" width="1.42578125" style="5" customWidth="1"/>
    <col min="7" max="7" width="7.28515625" style="5" customWidth="1"/>
    <col min="8" max="8" width="16.85546875" style="5" customWidth="1"/>
    <col min="9" max="9" width="10.5703125" style="2" customWidth="1"/>
    <col min="10" max="10" width="11.85546875" style="2" customWidth="1"/>
    <col min="11" max="16384" width="9.140625" style="5"/>
  </cols>
  <sheetData>
    <row r="1" spans="1:10" ht="21" x14ac:dyDescent="0.35">
      <c r="A1" s="28" t="s">
        <v>0</v>
      </c>
      <c r="B1" s="12"/>
      <c r="C1" s="13"/>
      <c r="D1" s="3"/>
      <c r="E1" s="31">
        <f ca="1">TODAY()</f>
        <v>44105</v>
      </c>
    </row>
    <row r="3" spans="1:10" x14ac:dyDescent="0.2">
      <c r="A3" s="14" t="s">
        <v>53</v>
      </c>
      <c r="E3" s="16">
        <v>-18700.580000000002</v>
      </c>
      <c r="G3" s="17" t="s">
        <v>20</v>
      </c>
      <c r="H3" s="13"/>
      <c r="I3" s="18" t="s">
        <v>18</v>
      </c>
      <c r="J3" s="18" t="s">
        <v>15</v>
      </c>
    </row>
    <row r="4" spans="1:10" x14ac:dyDescent="0.2">
      <c r="G4" s="8">
        <v>42576</v>
      </c>
      <c r="H4" s="5" t="s">
        <v>17</v>
      </c>
      <c r="I4" s="4">
        <v>12145.22</v>
      </c>
      <c r="J4" s="2">
        <f>140000-I4</f>
        <v>127854.78</v>
      </c>
    </row>
    <row r="5" spans="1:10" x14ac:dyDescent="0.2">
      <c r="A5" s="14" t="s">
        <v>9</v>
      </c>
      <c r="C5" s="5" t="s">
        <v>67</v>
      </c>
      <c r="E5" s="19">
        <f>12000*4</f>
        <v>48000</v>
      </c>
      <c r="G5" s="8">
        <v>42577</v>
      </c>
      <c r="H5" s="5" t="s">
        <v>16</v>
      </c>
      <c r="I5" s="4">
        <v>45262.48</v>
      </c>
      <c r="J5" s="2">
        <f>J4-I5</f>
        <v>82592.299999999988</v>
      </c>
    </row>
    <row r="6" spans="1:10" x14ac:dyDescent="0.2">
      <c r="G6" s="8">
        <v>42593</v>
      </c>
      <c r="H6" s="5" t="s">
        <v>63</v>
      </c>
      <c r="I6" s="4">
        <v>31977.119999999999</v>
      </c>
      <c r="J6" s="2">
        <f>J5-I6</f>
        <v>50615.179999999993</v>
      </c>
    </row>
    <row r="7" spans="1:10" x14ac:dyDescent="0.2">
      <c r="A7" s="14" t="s">
        <v>7</v>
      </c>
      <c r="E7" s="16">
        <f>SUM(E8:E13)</f>
        <v>215128.34000000003</v>
      </c>
      <c r="G7" s="8">
        <v>42594</v>
      </c>
      <c r="H7" s="5" t="s">
        <v>64</v>
      </c>
    </row>
    <row r="8" spans="1:10" x14ac:dyDescent="0.2">
      <c r="B8" s="8">
        <v>42582</v>
      </c>
      <c r="C8" s="5" t="s">
        <v>1</v>
      </c>
      <c r="E8" s="9">
        <v>7923</v>
      </c>
      <c r="H8" s="34" t="s">
        <v>65</v>
      </c>
      <c r="I8" s="4">
        <v>16503.16</v>
      </c>
      <c r="J8" s="2">
        <f>J6-I8</f>
        <v>34112.01999999999</v>
      </c>
    </row>
    <row r="9" spans="1:10" x14ac:dyDescent="0.2">
      <c r="B9" s="8">
        <v>42582</v>
      </c>
      <c r="C9" s="5" t="s">
        <v>2</v>
      </c>
      <c r="E9" s="10">
        <v>2565</v>
      </c>
      <c r="I9" s="4"/>
    </row>
    <row r="10" spans="1:10" x14ac:dyDescent="0.2">
      <c r="B10" s="8">
        <v>42582</v>
      </c>
      <c r="C10" s="5" t="s">
        <v>3</v>
      </c>
      <c r="E10" s="10">
        <f>104100+48800</f>
        <v>152900</v>
      </c>
      <c r="I10" s="4"/>
    </row>
    <row r="11" spans="1:10" x14ac:dyDescent="0.2">
      <c r="B11" s="8">
        <v>42582</v>
      </c>
      <c r="C11" s="5" t="s">
        <v>4</v>
      </c>
      <c r="E11" s="10">
        <v>29421.41</v>
      </c>
    </row>
    <row r="12" spans="1:10" x14ac:dyDescent="0.2">
      <c r="B12" s="8">
        <v>42582</v>
      </c>
      <c r="C12" s="5" t="s">
        <v>5</v>
      </c>
      <c r="E12" s="10">
        <v>5235.17</v>
      </c>
    </row>
    <row r="13" spans="1:10" x14ac:dyDescent="0.2">
      <c r="B13" s="8">
        <v>42583</v>
      </c>
      <c r="C13" s="5" t="s">
        <v>6</v>
      </c>
      <c r="E13" s="11">
        <v>17083.759999999998</v>
      </c>
    </row>
    <row r="14" spans="1:10" x14ac:dyDescent="0.2">
      <c r="B14" s="8"/>
    </row>
    <row r="15" spans="1:10" x14ac:dyDescent="0.2">
      <c r="A15" s="14" t="s">
        <v>8</v>
      </c>
      <c r="B15" s="8"/>
      <c r="E15" s="16">
        <f>SUM(E16:E19)</f>
        <v>171220</v>
      </c>
    </row>
    <row r="16" spans="1:10" x14ac:dyDescent="0.2">
      <c r="B16" s="8">
        <v>42580</v>
      </c>
      <c r="C16" s="5" t="s">
        <v>10</v>
      </c>
      <c r="E16" s="9">
        <v>47891</v>
      </c>
    </row>
    <row r="17" spans="1:5" x14ac:dyDescent="0.2">
      <c r="B17" s="8">
        <v>42580</v>
      </c>
      <c r="C17" s="5" t="s">
        <v>11</v>
      </c>
      <c r="E17" s="10">
        <v>24809</v>
      </c>
    </row>
    <row r="18" spans="1:5" x14ac:dyDescent="0.2">
      <c r="B18" s="8">
        <v>42583</v>
      </c>
      <c r="C18" s="5" t="s">
        <v>14</v>
      </c>
      <c r="E18" s="10">
        <v>88200</v>
      </c>
    </row>
    <row r="19" spans="1:5" x14ac:dyDescent="0.2">
      <c r="B19" s="8">
        <v>42586</v>
      </c>
      <c r="C19" s="5" t="s">
        <v>12</v>
      </c>
      <c r="E19" s="11">
        <v>10320</v>
      </c>
    </row>
    <row r="20" spans="1:5" ht="13.5" thickBot="1" x14ac:dyDescent="0.25">
      <c r="B20" s="8"/>
    </row>
    <row r="21" spans="1:5" ht="13.5" thickBot="1" x14ac:dyDescent="0.25">
      <c r="A21" s="14" t="s">
        <v>13</v>
      </c>
      <c r="B21" s="8"/>
      <c r="E21" s="20">
        <f>E3-E5+E7-E15</f>
        <v>-22792.239999999991</v>
      </c>
    </row>
    <row r="22" spans="1:5" x14ac:dyDescent="0.2">
      <c r="B22" s="8"/>
      <c r="D22" s="21" t="s">
        <v>21</v>
      </c>
      <c r="E22" s="22">
        <f>E21+100000</f>
        <v>77207.760000000009</v>
      </c>
    </row>
    <row r="23" spans="1:5" ht="13.5" thickBot="1" x14ac:dyDescent="0.25">
      <c r="B23" s="8"/>
      <c r="D23" s="21" t="s">
        <v>22</v>
      </c>
      <c r="E23" s="23">
        <f>E22-J5</f>
        <v>-5384.539999999979</v>
      </c>
    </row>
    <row r="24" spans="1:5" ht="14.25" thickTop="1" thickBot="1" x14ac:dyDescent="0.25">
      <c r="A24" s="24"/>
      <c r="B24" s="25"/>
      <c r="C24" s="24"/>
      <c r="D24" s="26"/>
      <c r="E24" s="26"/>
    </row>
    <row r="25" spans="1:5" x14ac:dyDescent="0.2">
      <c r="B25" s="8"/>
    </row>
    <row r="26" spans="1:5" x14ac:dyDescent="0.2">
      <c r="A26" s="14" t="s">
        <v>23</v>
      </c>
      <c r="B26" s="8"/>
      <c r="D26" s="3"/>
      <c r="E26" s="3">
        <f>SUM(D27:D28)</f>
        <v>101779.2</v>
      </c>
    </row>
    <row r="27" spans="1:5" x14ac:dyDescent="0.2">
      <c r="B27" s="6" t="s">
        <v>24</v>
      </c>
      <c r="D27" s="29">
        <v>96900</v>
      </c>
    </row>
    <row r="28" spans="1:5" x14ac:dyDescent="0.2">
      <c r="B28" s="6" t="s">
        <v>27</v>
      </c>
      <c r="D28" s="29">
        <v>4879.2</v>
      </c>
    </row>
    <row r="29" spans="1:5" x14ac:dyDescent="0.2">
      <c r="B29" s="6"/>
      <c r="D29" s="29"/>
    </row>
    <row r="30" spans="1:5" x14ac:dyDescent="0.2">
      <c r="A30" s="14" t="s">
        <v>31</v>
      </c>
      <c r="B30" s="6"/>
      <c r="D30" s="30"/>
      <c r="E30" s="3">
        <f>SUM(D31:D46)</f>
        <v>239785.56999999998</v>
      </c>
    </row>
    <row r="31" spans="1:5" x14ac:dyDescent="0.2">
      <c r="B31" s="7" t="s">
        <v>32</v>
      </c>
      <c r="D31" s="29">
        <v>20000</v>
      </c>
      <c r="E31" s="1"/>
    </row>
    <row r="32" spans="1:5" x14ac:dyDescent="0.2">
      <c r="B32" s="7" t="s">
        <v>33</v>
      </c>
      <c r="D32" s="29">
        <v>6000</v>
      </c>
      <c r="E32" s="1"/>
    </row>
    <row r="33" spans="1:5" x14ac:dyDescent="0.2">
      <c r="B33" s="7" t="s">
        <v>34</v>
      </c>
      <c r="D33" s="29">
        <v>9923.7000000000007</v>
      </c>
      <c r="E33" s="1" t="s">
        <v>37</v>
      </c>
    </row>
    <row r="34" spans="1:5" x14ac:dyDescent="0.2">
      <c r="B34" s="7" t="s">
        <v>55</v>
      </c>
      <c r="D34" s="29">
        <v>24239.06</v>
      </c>
      <c r="E34" s="1"/>
    </row>
    <row r="35" spans="1:5" x14ac:dyDescent="0.2">
      <c r="B35" s="7" t="s">
        <v>35</v>
      </c>
      <c r="D35" s="29">
        <v>35716.68</v>
      </c>
      <c r="E35" s="1" t="s">
        <v>38</v>
      </c>
    </row>
    <row r="36" spans="1:5" x14ac:dyDescent="0.2">
      <c r="B36" s="7" t="s">
        <v>36</v>
      </c>
      <c r="D36" s="29">
        <v>2243.52</v>
      </c>
      <c r="E36" s="1" t="s">
        <v>37</v>
      </c>
    </row>
    <row r="37" spans="1:5" x14ac:dyDescent="0.2">
      <c r="B37" s="7" t="s">
        <v>39</v>
      </c>
      <c r="D37" s="29">
        <v>5298.83</v>
      </c>
      <c r="E37" s="1" t="s">
        <v>38</v>
      </c>
    </row>
    <row r="38" spans="1:5" x14ac:dyDescent="0.2">
      <c r="B38" s="7" t="s">
        <v>40</v>
      </c>
      <c r="D38" s="29">
        <v>43721.279999999999</v>
      </c>
      <c r="E38" s="1" t="s">
        <v>41</v>
      </c>
    </row>
    <row r="39" spans="1:5" x14ac:dyDescent="0.2">
      <c r="B39" s="7" t="s">
        <v>42</v>
      </c>
      <c r="D39" s="29">
        <v>9259.08</v>
      </c>
      <c r="E39" s="1" t="s">
        <v>45</v>
      </c>
    </row>
    <row r="40" spans="1:5" x14ac:dyDescent="0.2">
      <c r="B40" s="7" t="s">
        <v>43</v>
      </c>
      <c r="D40" s="29">
        <v>11755.68</v>
      </c>
      <c r="E40" s="1" t="s">
        <v>37</v>
      </c>
    </row>
    <row r="41" spans="1:5" x14ac:dyDescent="0.2">
      <c r="B41" s="7" t="s">
        <v>46</v>
      </c>
      <c r="D41" s="29">
        <v>29248.87</v>
      </c>
      <c r="E41" s="1" t="s">
        <v>38</v>
      </c>
    </row>
    <row r="42" spans="1:5" x14ac:dyDescent="0.2">
      <c r="B42" s="7" t="s">
        <v>48</v>
      </c>
      <c r="D42" s="29">
        <v>4176.9399999999996</v>
      </c>
      <c r="E42" s="1"/>
    </row>
    <row r="43" spans="1:5" x14ac:dyDescent="0.2">
      <c r="B43" s="7" t="s">
        <v>49</v>
      </c>
      <c r="D43" s="29">
        <v>1255.94</v>
      </c>
      <c r="E43" s="1" t="s">
        <v>45</v>
      </c>
    </row>
    <row r="44" spans="1:5" x14ac:dyDescent="0.2">
      <c r="B44" s="7" t="s">
        <v>50</v>
      </c>
      <c r="D44" s="29">
        <v>18000</v>
      </c>
      <c r="E44" s="1" t="s">
        <v>38</v>
      </c>
    </row>
    <row r="45" spans="1:5" x14ac:dyDescent="0.2">
      <c r="B45" s="7" t="s">
        <v>51</v>
      </c>
      <c r="D45" s="29">
        <v>151.71</v>
      </c>
      <c r="E45" s="1" t="s">
        <v>37</v>
      </c>
    </row>
    <row r="46" spans="1:5" x14ac:dyDescent="0.2">
      <c r="B46" s="7" t="s">
        <v>52</v>
      </c>
      <c r="D46" s="29">
        <v>18794.28</v>
      </c>
      <c r="E46" s="1" t="s">
        <v>38</v>
      </c>
    </row>
    <row r="47" spans="1:5" x14ac:dyDescent="0.2">
      <c r="B47" s="27"/>
    </row>
    <row r="48" spans="1:5" x14ac:dyDescent="0.2">
      <c r="A48" s="14" t="s">
        <v>66</v>
      </c>
      <c r="B48" s="27"/>
    </row>
    <row r="49" spans="2:5" x14ac:dyDescent="0.2">
      <c r="B49" s="27" t="s">
        <v>57</v>
      </c>
      <c r="E49" s="2">
        <v>54218.400000000001</v>
      </c>
    </row>
    <row r="50" spans="2:5" x14ac:dyDescent="0.2">
      <c r="B50" s="27" t="s">
        <v>58</v>
      </c>
      <c r="E50" s="2">
        <v>48923.1</v>
      </c>
    </row>
    <row r="51" spans="2:5" x14ac:dyDescent="0.2">
      <c r="B51" s="27" t="s">
        <v>59</v>
      </c>
      <c r="E51" s="33"/>
    </row>
    <row r="52" spans="2:5" x14ac:dyDescent="0.2">
      <c r="B52" s="27"/>
      <c r="C52" s="5" t="s">
        <v>3</v>
      </c>
      <c r="E52" s="2">
        <v>51000</v>
      </c>
    </row>
    <row r="53" spans="2:5" x14ac:dyDescent="0.2">
      <c r="B53" s="27"/>
      <c r="C53" s="5" t="s">
        <v>60</v>
      </c>
      <c r="E53" s="2">
        <v>9462</v>
      </c>
    </row>
    <row r="54" spans="2:5" x14ac:dyDescent="0.2">
      <c r="B54" s="27"/>
      <c r="C54" s="5" t="s">
        <v>62</v>
      </c>
      <c r="E54" s="2">
        <v>8527.2000000000007</v>
      </c>
    </row>
    <row r="55" spans="2:5" x14ac:dyDescent="0.2">
      <c r="B55" s="27"/>
      <c r="C55" s="5" t="s">
        <v>61</v>
      </c>
      <c r="E55" s="3">
        <f>6019.2+6976.8</f>
        <v>12996</v>
      </c>
    </row>
    <row r="56" spans="2:5" x14ac:dyDescent="0.2">
      <c r="B56" s="27"/>
      <c r="E56" s="2">
        <f>SUM(E49:E55)</f>
        <v>185126.7</v>
      </c>
    </row>
  </sheetData>
  <printOptions horizontalCentered="1"/>
  <pageMargins left="0.19685039370078741" right="0.19685039370078741" top="0.35433070866141736" bottom="0.35433070866141736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1" workbookViewId="0">
      <selection activeCell="J56" sqref="J56"/>
    </sheetView>
  </sheetViews>
  <sheetFormatPr defaultRowHeight="12.75" x14ac:dyDescent="0.2"/>
  <cols>
    <col min="1" max="1" width="1.7109375" style="5" customWidth="1"/>
    <col min="2" max="2" width="6.42578125" style="15" customWidth="1"/>
    <col min="3" max="3" width="18.5703125" style="5" customWidth="1"/>
    <col min="4" max="4" width="10.28515625" style="2" customWidth="1"/>
    <col min="5" max="5" width="12.5703125" style="2" customWidth="1"/>
    <col min="6" max="6" width="1.42578125" style="5" customWidth="1"/>
    <col min="7" max="7" width="7.28515625" style="5" customWidth="1"/>
    <col min="8" max="8" width="16.85546875" style="5" customWidth="1"/>
    <col min="9" max="9" width="10.5703125" style="2" customWidth="1"/>
    <col min="10" max="10" width="11.85546875" style="2" customWidth="1"/>
    <col min="11" max="16384" width="9.140625" style="5"/>
  </cols>
  <sheetData>
    <row r="1" spans="1:10" ht="21" x14ac:dyDescent="0.35">
      <c r="A1" s="28" t="s">
        <v>0</v>
      </c>
      <c r="B1" s="12"/>
      <c r="C1" s="13"/>
      <c r="D1" s="3"/>
      <c r="E1" s="31">
        <f ca="1">TODAY()</f>
        <v>44105</v>
      </c>
    </row>
    <row r="3" spans="1:10" x14ac:dyDescent="0.2">
      <c r="A3" s="14" t="s">
        <v>53</v>
      </c>
      <c r="E3" s="16">
        <v>-18700.580000000002</v>
      </c>
      <c r="G3" s="17" t="s">
        <v>20</v>
      </c>
      <c r="H3" s="13"/>
      <c r="I3" s="18" t="s">
        <v>18</v>
      </c>
      <c r="J3" s="18" t="s">
        <v>15</v>
      </c>
    </row>
    <row r="4" spans="1:10" x14ac:dyDescent="0.2">
      <c r="G4" s="8">
        <v>42576</v>
      </c>
      <c r="H4" s="5" t="s">
        <v>17</v>
      </c>
      <c r="I4" s="4">
        <v>12145.22</v>
      </c>
      <c r="J4" s="2">
        <f>140000-I4</f>
        <v>127854.78</v>
      </c>
    </row>
    <row r="5" spans="1:10" x14ac:dyDescent="0.2">
      <c r="A5" s="14" t="s">
        <v>9</v>
      </c>
      <c r="C5" s="5" t="s">
        <v>54</v>
      </c>
      <c r="E5" s="19">
        <v>10320</v>
      </c>
      <c r="G5" s="8">
        <v>42577</v>
      </c>
      <c r="H5" s="5" t="s">
        <v>16</v>
      </c>
      <c r="I5" s="4">
        <v>45262.48</v>
      </c>
      <c r="J5" s="2">
        <f>J4-I5</f>
        <v>82592.299999999988</v>
      </c>
    </row>
    <row r="6" spans="1:10" x14ac:dyDescent="0.2">
      <c r="H6" s="5" t="s">
        <v>19</v>
      </c>
      <c r="I6" s="32">
        <v>20000</v>
      </c>
    </row>
    <row r="7" spans="1:10" x14ac:dyDescent="0.2">
      <c r="A7" s="14" t="s">
        <v>7</v>
      </c>
      <c r="E7" s="16">
        <f>SUM(E8:E13)</f>
        <v>215128.34000000003</v>
      </c>
    </row>
    <row r="8" spans="1:10" x14ac:dyDescent="0.2">
      <c r="B8" s="8">
        <v>42582</v>
      </c>
      <c r="C8" s="5" t="s">
        <v>1</v>
      </c>
      <c r="E8" s="9">
        <v>7923</v>
      </c>
    </row>
    <row r="9" spans="1:10" x14ac:dyDescent="0.2">
      <c r="B9" s="8">
        <v>42582</v>
      </c>
      <c r="C9" s="5" t="s">
        <v>2</v>
      </c>
      <c r="E9" s="10">
        <v>2565</v>
      </c>
    </row>
    <row r="10" spans="1:10" x14ac:dyDescent="0.2">
      <c r="B10" s="8">
        <v>42582</v>
      </c>
      <c r="C10" s="5" t="s">
        <v>3</v>
      </c>
      <c r="E10" s="10">
        <f>104100+48800</f>
        <v>152900</v>
      </c>
    </row>
    <row r="11" spans="1:10" x14ac:dyDescent="0.2">
      <c r="B11" s="8">
        <v>42582</v>
      </c>
      <c r="C11" s="5" t="s">
        <v>4</v>
      </c>
      <c r="E11" s="10">
        <v>29421.41</v>
      </c>
    </row>
    <row r="12" spans="1:10" x14ac:dyDescent="0.2">
      <c r="B12" s="8">
        <v>42582</v>
      </c>
      <c r="C12" s="5" t="s">
        <v>5</v>
      </c>
      <c r="E12" s="10">
        <v>5235.17</v>
      </c>
    </row>
    <row r="13" spans="1:10" x14ac:dyDescent="0.2">
      <c r="B13" s="8">
        <v>42583</v>
      </c>
      <c r="C13" s="5" t="s">
        <v>6</v>
      </c>
      <c r="E13" s="11">
        <v>17083.759999999998</v>
      </c>
    </row>
    <row r="14" spans="1:10" x14ac:dyDescent="0.2">
      <c r="B14" s="8"/>
    </row>
    <row r="15" spans="1:10" x14ac:dyDescent="0.2">
      <c r="A15" s="14" t="s">
        <v>8</v>
      </c>
      <c r="B15" s="8"/>
      <c r="E15" s="16">
        <f>SUM(E16:E19)</f>
        <v>171220</v>
      </c>
    </row>
    <row r="16" spans="1:10" x14ac:dyDescent="0.2">
      <c r="B16" s="8">
        <v>42580</v>
      </c>
      <c r="C16" s="5" t="s">
        <v>10</v>
      </c>
      <c r="E16" s="9">
        <v>47891</v>
      </c>
    </row>
    <row r="17" spans="1:5" x14ac:dyDescent="0.2">
      <c r="B17" s="8">
        <v>42580</v>
      </c>
      <c r="C17" s="5" t="s">
        <v>11</v>
      </c>
      <c r="E17" s="10">
        <v>24809</v>
      </c>
    </row>
    <row r="18" spans="1:5" x14ac:dyDescent="0.2">
      <c r="B18" s="8">
        <v>42583</v>
      </c>
      <c r="C18" s="5" t="s">
        <v>14</v>
      </c>
      <c r="E18" s="10">
        <v>88200</v>
      </c>
    </row>
    <row r="19" spans="1:5" x14ac:dyDescent="0.2">
      <c r="B19" s="8">
        <v>42586</v>
      </c>
      <c r="C19" s="5" t="s">
        <v>12</v>
      </c>
      <c r="E19" s="11">
        <v>10320</v>
      </c>
    </row>
    <row r="20" spans="1:5" ht="13.5" thickBot="1" x14ac:dyDescent="0.25">
      <c r="B20" s="8"/>
    </row>
    <row r="21" spans="1:5" ht="13.5" thickBot="1" x14ac:dyDescent="0.25">
      <c r="A21" s="14" t="s">
        <v>13</v>
      </c>
      <c r="B21" s="8"/>
      <c r="E21" s="20">
        <f>E3-E5+E7-E15</f>
        <v>14887.760000000009</v>
      </c>
    </row>
    <row r="22" spans="1:5" x14ac:dyDescent="0.2">
      <c r="B22" s="8"/>
      <c r="D22" s="21" t="s">
        <v>21</v>
      </c>
      <c r="E22" s="22">
        <f>E21+100000</f>
        <v>114887.76000000001</v>
      </c>
    </row>
    <row r="23" spans="1:5" ht="13.5" thickBot="1" x14ac:dyDescent="0.25">
      <c r="B23" s="8"/>
      <c r="D23" s="21" t="s">
        <v>22</v>
      </c>
      <c r="E23" s="23">
        <f>E22-J5</f>
        <v>32295.460000000021</v>
      </c>
    </row>
    <row r="24" spans="1:5" ht="14.25" thickTop="1" thickBot="1" x14ac:dyDescent="0.25">
      <c r="A24" s="24"/>
      <c r="B24" s="25"/>
      <c r="C24" s="24"/>
      <c r="D24" s="26"/>
      <c r="E24" s="26"/>
    </row>
    <row r="25" spans="1:5" x14ac:dyDescent="0.2">
      <c r="B25" s="8"/>
    </row>
    <row r="26" spans="1:5" x14ac:dyDescent="0.2">
      <c r="A26" s="14" t="s">
        <v>23</v>
      </c>
      <c r="B26" s="8"/>
      <c r="D26" s="3"/>
      <c r="E26" s="3">
        <f>SUM(D27:D33)</f>
        <v>167385.06</v>
      </c>
    </row>
    <row r="27" spans="1:5" x14ac:dyDescent="0.2">
      <c r="B27" s="6" t="s">
        <v>24</v>
      </c>
      <c r="D27" s="29">
        <v>96900</v>
      </c>
    </row>
    <row r="28" spans="1:5" x14ac:dyDescent="0.2">
      <c r="B28" s="6" t="s">
        <v>25</v>
      </c>
      <c r="D28" s="29">
        <v>29457.599999999999</v>
      </c>
    </row>
    <row r="29" spans="1:5" x14ac:dyDescent="0.2">
      <c r="B29" s="6" t="s">
        <v>26</v>
      </c>
      <c r="D29" s="29">
        <v>9712.7999999999993</v>
      </c>
    </row>
    <row r="30" spans="1:5" x14ac:dyDescent="0.2">
      <c r="B30" s="6" t="s">
        <v>28</v>
      </c>
      <c r="D30" s="29">
        <v>4560</v>
      </c>
    </row>
    <row r="31" spans="1:5" x14ac:dyDescent="0.2">
      <c r="B31" s="6" t="s">
        <v>27</v>
      </c>
      <c r="D31" s="29">
        <v>4879.2</v>
      </c>
    </row>
    <row r="32" spans="1:5" x14ac:dyDescent="0.2">
      <c r="B32" s="6" t="s">
        <v>29</v>
      </c>
      <c r="D32" s="29">
        <v>15548.46</v>
      </c>
    </row>
    <row r="33" spans="1:5" x14ac:dyDescent="0.2">
      <c r="B33" s="6" t="s">
        <v>30</v>
      </c>
      <c r="D33" s="29">
        <v>6327</v>
      </c>
    </row>
    <row r="34" spans="1:5" x14ac:dyDescent="0.2">
      <c r="B34" s="6"/>
      <c r="D34" s="29"/>
    </row>
    <row r="35" spans="1:5" x14ac:dyDescent="0.2">
      <c r="A35" s="14" t="s">
        <v>31</v>
      </c>
      <c r="B35" s="6"/>
      <c r="D35" s="30"/>
      <c r="E35" s="3">
        <f>SUM(D36:D53)</f>
        <v>249579.14999999997</v>
      </c>
    </row>
    <row r="36" spans="1:5" x14ac:dyDescent="0.2">
      <c r="B36" s="7" t="s">
        <v>32</v>
      </c>
      <c r="D36" s="29">
        <v>20000</v>
      </c>
      <c r="E36" s="1"/>
    </row>
    <row r="37" spans="1:5" x14ac:dyDescent="0.2">
      <c r="B37" s="7" t="s">
        <v>33</v>
      </c>
      <c r="D37" s="29">
        <v>6000</v>
      </c>
      <c r="E37" s="1"/>
    </row>
    <row r="38" spans="1:5" x14ac:dyDescent="0.2">
      <c r="B38" s="7" t="s">
        <v>34</v>
      </c>
      <c r="D38" s="29">
        <v>9923.7000000000007</v>
      </c>
      <c r="E38" s="1" t="s">
        <v>37</v>
      </c>
    </row>
    <row r="39" spans="1:5" x14ac:dyDescent="0.2">
      <c r="B39" s="7" t="s">
        <v>55</v>
      </c>
      <c r="D39" s="29">
        <v>24239.06</v>
      </c>
      <c r="E39" s="1"/>
    </row>
    <row r="40" spans="1:5" x14ac:dyDescent="0.2">
      <c r="B40" s="7" t="s">
        <v>35</v>
      </c>
      <c r="D40" s="29">
        <v>35716.68</v>
      </c>
      <c r="E40" s="1" t="s">
        <v>38</v>
      </c>
    </row>
    <row r="41" spans="1:5" x14ac:dyDescent="0.2">
      <c r="B41" s="7" t="s">
        <v>36</v>
      </c>
      <c r="D41" s="29">
        <v>2243.52</v>
      </c>
      <c r="E41" s="1" t="s">
        <v>37</v>
      </c>
    </row>
    <row r="42" spans="1:5" x14ac:dyDescent="0.2">
      <c r="B42" s="7" t="s">
        <v>39</v>
      </c>
      <c r="D42" s="29">
        <v>5298.83</v>
      </c>
      <c r="E42" s="1" t="s">
        <v>38</v>
      </c>
    </row>
    <row r="43" spans="1:5" x14ac:dyDescent="0.2">
      <c r="B43" s="7" t="s">
        <v>40</v>
      </c>
      <c r="D43" s="29">
        <v>43721.279999999999</v>
      </c>
      <c r="E43" s="1" t="s">
        <v>41</v>
      </c>
    </row>
    <row r="44" spans="1:5" x14ac:dyDescent="0.2">
      <c r="B44" s="7" t="s">
        <v>42</v>
      </c>
      <c r="D44" s="29">
        <v>9259.08</v>
      </c>
      <c r="E44" s="1" t="s">
        <v>45</v>
      </c>
    </row>
    <row r="45" spans="1:5" x14ac:dyDescent="0.2">
      <c r="B45" s="7" t="s">
        <v>43</v>
      </c>
      <c r="D45" s="29">
        <v>11755.68</v>
      </c>
      <c r="E45" s="1" t="s">
        <v>37</v>
      </c>
    </row>
    <row r="46" spans="1:5" x14ac:dyDescent="0.2">
      <c r="B46" s="7" t="s">
        <v>44</v>
      </c>
      <c r="D46" s="29">
        <v>5304.83</v>
      </c>
      <c r="E46" s="1" t="s">
        <v>45</v>
      </c>
    </row>
    <row r="47" spans="1:5" x14ac:dyDescent="0.2">
      <c r="B47" s="7" t="s">
        <v>46</v>
      </c>
      <c r="D47" s="29">
        <v>29248.87</v>
      </c>
      <c r="E47" s="1" t="s">
        <v>38</v>
      </c>
    </row>
    <row r="48" spans="1:5" x14ac:dyDescent="0.2">
      <c r="B48" s="7" t="s">
        <v>47</v>
      </c>
      <c r="D48" s="29">
        <v>4488.75</v>
      </c>
      <c r="E48" s="1" t="s">
        <v>37</v>
      </c>
    </row>
    <row r="49" spans="1:5" x14ac:dyDescent="0.2">
      <c r="B49" s="7" t="s">
        <v>48</v>
      </c>
      <c r="D49" s="29">
        <v>4176.9399999999996</v>
      </c>
      <c r="E49" s="1"/>
    </row>
    <row r="50" spans="1:5" x14ac:dyDescent="0.2">
      <c r="B50" s="7" t="s">
        <v>49</v>
      </c>
      <c r="D50" s="29">
        <v>1255.94</v>
      </c>
      <c r="E50" s="1" t="s">
        <v>45</v>
      </c>
    </row>
    <row r="51" spans="1:5" x14ac:dyDescent="0.2">
      <c r="B51" s="7" t="s">
        <v>50</v>
      </c>
      <c r="D51" s="29">
        <v>18000</v>
      </c>
      <c r="E51" s="1" t="s">
        <v>38</v>
      </c>
    </row>
    <row r="52" spans="1:5" x14ac:dyDescent="0.2">
      <c r="B52" s="7" t="s">
        <v>51</v>
      </c>
      <c r="D52" s="29">
        <v>151.71</v>
      </c>
      <c r="E52" s="1" t="s">
        <v>37</v>
      </c>
    </row>
    <row r="53" spans="1:5" x14ac:dyDescent="0.2">
      <c r="B53" s="7" t="s">
        <v>52</v>
      </c>
      <c r="D53" s="29">
        <v>18794.28</v>
      </c>
      <c r="E53" s="1" t="s">
        <v>38</v>
      </c>
    </row>
    <row r="54" spans="1:5" x14ac:dyDescent="0.2">
      <c r="B54" s="27"/>
    </row>
    <row r="55" spans="1:5" x14ac:dyDescent="0.2">
      <c r="A55" s="14" t="s">
        <v>56</v>
      </c>
      <c r="B55" s="27"/>
    </row>
    <row r="56" spans="1:5" x14ac:dyDescent="0.2">
      <c r="B56" s="27" t="s">
        <v>57</v>
      </c>
      <c r="E56" s="2">
        <v>54218.400000000001</v>
      </c>
    </row>
    <row r="57" spans="1:5" x14ac:dyDescent="0.2">
      <c r="B57" s="27" t="s">
        <v>58</v>
      </c>
      <c r="E57" s="2">
        <v>48923.1</v>
      </c>
    </row>
    <row r="58" spans="1:5" x14ac:dyDescent="0.2">
      <c r="B58" s="27" t="s">
        <v>59</v>
      </c>
      <c r="E58" s="33"/>
    </row>
    <row r="59" spans="1:5" x14ac:dyDescent="0.2">
      <c r="B59" s="27"/>
      <c r="C59" s="5" t="s">
        <v>3</v>
      </c>
      <c r="E59" s="2">
        <v>51000</v>
      </c>
    </row>
    <row r="60" spans="1:5" x14ac:dyDescent="0.2">
      <c r="B60" s="27"/>
      <c r="C60" s="5" t="s">
        <v>60</v>
      </c>
      <c r="E60" s="2">
        <v>9462</v>
      </c>
    </row>
    <row r="61" spans="1:5" x14ac:dyDescent="0.2">
      <c r="B61" s="27"/>
      <c r="C61" s="5" t="s">
        <v>62</v>
      </c>
      <c r="E61" s="2">
        <v>8527.2000000000007</v>
      </c>
    </row>
    <row r="62" spans="1:5" x14ac:dyDescent="0.2">
      <c r="B62" s="27"/>
      <c r="C62" s="5" t="s">
        <v>61</v>
      </c>
      <c r="E62" s="3">
        <f>6019.2+6976.8</f>
        <v>12996</v>
      </c>
    </row>
    <row r="63" spans="1:5" x14ac:dyDescent="0.2">
      <c r="B63" s="27"/>
      <c r="E63" s="2">
        <f>SUM(E56:E62)</f>
        <v>185126.7</v>
      </c>
    </row>
  </sheetData>
  <printOptions horizontalCentered="1"/>
  <pageMargins left="0.19685039370078741" right="0.19685039370078741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September '20</vt:lpstr>
      <vt:lpstr>August '20</vt:lpstr>
      <vt:lpstr>August '16</vt:lpstr>
      <vt:lpstr>July '16</vt:lpstr>
      <vt:lpstr>'August ''20'!Print_Area</vt:lpstr>
      <vt:lpstr>'September ''20'!Print_Area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2020-10-01T14:03:41Z</cp:lastPrinted>
  <dcterms:created xsi:type="dcterms:W3CDTF">2016-07-26T08:12:53Z</dcterms:created>
  <dcterms:modified xsi:type="dcterms:W3CDTF">2020-10-01T14:13:59Z</dcterms:modified>
</cp:coreProperties>
</file>