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730" windowHeight="10515"/>
  </bookViews>
  <sheets>
    <sheet name="2014" sheetId="4" r:id="rId1"/>
    <sheet name="2013" sheetId="1" r:id="rId2"/>
  </sheets>
  <definedNames>
    <definedName name="_xlnm.Print_Area" localSheetId="1">'2013'!$H$3:$X$191</definedName>
    <definedName name="_xlnm.Print_Area" localSheetId="0">'2014'!$F$3:$W$190</definedName>
  </definedNames>
  <calcPr calcId="145621"/>
</workbook>
</file>

<file path=xl/calcChain.xml><?xml version="1.0" encoding="utf-8"?>
<calcChain xmlns="http://schemas.openxmlformats.org/spreadsheetml/2006/main">
  <c r="K34" i="4" l="1"/>
  <c r="S33" i="4"/>
  <c r="U33" i="4"/>
  <c r="N28" i="4"/>
  <c r="G148" i="4" l="1"/>
  <c r="S148" i="4" s="1"/>
  <c r="O176" i="4"/>
  <c r="G176" i="4"/>
  <c r="O177" i="4"/>
  <c r="G177" i="4"/>
  <c r="O178" i="4"/>
  <c r="G178" i="4"/>
  <c r="O179" i="4"/>
  <c r="G179" i="4"/>
  <c r="O180" i="4"/>
  <c r="H180" i="4"/>
  <c r="G180" i="4"/>
  <c r="O181" i="4"/>
  <c r="G181" i="4"/>
  <c r="O182" i="4"/>
  <c r="H182" i="4"/>
  <c r="G182" i="4"/>
  <c r="O183" i="4"/>
  <c r="H183" i="4"/>
  <c r="G183" i="4"/>
  <c r="O184" i="4"/>
  <c r="H184" i="4"/>
  <c r="G184" i="4"/>
  <c r="O185" i="4"/>
  <c r="H185" i="4"/>
  <c r="G185" i="4"/>
  <c r="O186" i="4"/>
  <c r="G186" i="4"/>
  <c r="O187" i="4"/>
  <c r="G187" i="4"/>
  <c r="O163" i="4"/>
  <c r="H163" i="4"/>
  <c r="G163" i="4"/>
  <c r="O164" i="4"/>
  <c r="H164" i="4"/>
  <c r="G164" i="4"/>
  <c r="O165" i="4"/>
  <c r="H165" i="4"/>
  <c r="G165" i="4"/>
  <c r="O166" i="4"/>
  <c r="G166" i="4"/>
  <c r="S166" i="4" s="1"/>
  <c r="O138" i="4"/>
  <c r="N138" i="4"/>
  <c r="O139" i="4"/>
  <c r="G139" i="4"/>
  <c r="O140" i="4"/>
  <c r="N140" i="4"/>
  <c r="G140" i="4"/>
  <c r="O141" i="4"/>
  <c r="H141" i="4"/>
  <c r="G141" i="4"/>
  <c r="O142" i="4"/>
  <c r="H142" i="4"/>
  <c r="G142" i="4"/>
  <c r="O143" i="4"/>
  <c r="N143" i="4"/>
  <c r="H143" i="4"/>
  <c r="G143" i="4"/>
  <c r="O144" i="4"/>
  <c r="N144" i="4"/>
  <c r="H144" i="4"/>
  <c r="G144" i="4"/>
  <c r="O145" i="4"/>
  <c r="N145" i="4"/>
  <c r="H145" i="4"/>
  <c r="G145" i="4"/>
  <c r="O146" i="4"/>
  <c r="N146" i="4"/>
  <c r="H146" i="4"/>
  <c r="G146" i="4"/>
  <c r="O147" i="4"/>
  <c r="N147" i="4"/>
  <c r="G147" i="4"/>
  <c r="S147" i="4" s="1"/>
  <c r="O148" i="4"/>
  <c r="N148" i="4"/>
  <c r="S185" i="4" l="1"/>
  <c r="P140" i="4"/>
  <c r="Q140" i="4" s="1"/>
  <c r="P141" i="4"/>
  <c r="Q141" i="4" s="1"/>
  <c r="P142" i="4"/>
  <c r="Q142" i="4" s="1"/>
  <c r="P143" i="4"/>
  <c r="Q143" i="4" s="1"/>
  <c r="P144" i="4"/>
  <c r="Q144" i="4" s="1"/>
  <c r="P145" i="4"/>
  <c r="Q145" i="4" s="1"/>
  <c r="P146" i="4"/>
  <c r="Q146" i="4" s="1"/>
  <c r="P147" i="4"/>
  <c r="Q147" i="4" s="1"/>
  <c r="P148" i="4"/>
  <c r="Q148" i="4" s="1"/>
  <c r="P139" i="4"/>
  <c r="Q139" i="4" s="1"/>
  <c r="P138" i="4"/>
  <c r="Q138" i="4" s="1"/>
  <c r="O149" i="4"/>
  <c r="P149" i="4" s="1"/>
  <c r="Q149" i="4" s="1"/>
  <c r="N149" i="4"/>
  <c r="G149" i="4"/>
  <c r="O119" i="4"/>
  <c r="G119" i="4"/>
  <c r="O120" i="4"/>
  <c r="G120" i="4"/>
  <c r="O121" i="4"/>
  <c r="G121" i="4"/>
  <c r="O123" i="4"/>
  <c r="P123" i="4" s="1"/>
  <c r="Q123" i="4" s="1"/>
  <c r="O122" i="4"/>
  <c r="G122" i="4"/>
  <c r="G123" i="4"/>
  <c r="O124" i="4"/>
  <c r="G124" i="4"/>
  <c r="O125" i="4"/>
  <c r="H125" i="4"/>
  <c r="G125" i="4"/>
  <c r="O126" i="4"/>
  <c r="H126" i="4"/>
  <c r="G126" i="4"/>
  <c r="O127" i="4"/>
  <c r="P127" i="4" s="1"/>
  <c r="Q127" i="4" s="1"/>
  <c r="G127" i="4"/>
  <c r="O128" i="4"/>
  <c r="G128" i="4"/>
  <c r="O129" i="4"/>
  <c r="G129" i="4"/>
  <c r="G130" i="4"/>
  <c r="P121" i="4"/>
  <c r="Q121" i="4" s="1"/>
  <c r="P122" i="4"/>
  <c r="Q122" i="4" s="1"/>
  <c r="P124" i="4"/>
  <c r="Q124" i="4" s="1"/>
  <c r="P125" i="4"/>
  <c r="Q125" i="4" s="1"/>
  <c r="P126" i="4"/>
  <c r="Q126" i="4" s="1"/>
  <c r="P128" i="4"/>
  <c r="Q128" i="4" s="1"/>
  <c r="P129" i="4"/>
  <c r="Q129" i="4" s="1"/>
  <c r="P120" i="4"/>
  <c r="Q120" i="4" s="1"/>
  <c r="P119" i="4"/>
  <c r="Q119" i="4" s="1"/>
  <c r="O130" i="4"/>
  <c r="P130" i="4" s="1"/>
  <c r="Q130" i="4" s="1"/>
  <c r="O100" i="4"/>
  <c r="M100" i="4"/>
  <c r="L100" i="4"/>
  <c r="G100" i="4"/>
  <c r="O101" i="4"/>
  <c r="M101" i="4"/>
  <c r="L101" i="4"/>
  <c r="G101" i="4"/>
  <c r="O102" i="4"/>
  <c r="M102" i="4"/>
  <c r="L102" i="4"/>
  <c r="G102" i="4"/>
  <c r="O103" i="4"/>
  <c r="M103" i="4"/>
  <c r="L103" i="4"/>
  <c r="G103" i="4"/>
  <c r="O104" i="4"/>
  <c r="M104" i="4"/>
  <c r="L104" i="4"/>
  <c r="G104" i="4"/>
  <c r="O105" i="4"/>
  <c r="M105" i="4"/>
  <c r="L105" i="4"/>
  <c r="G105" i="4"/>
  <c r="O106" i="4"/>
  <c r="M106" i="4"/>
  <c r="L106" i="4"/>
  <c r="G106" i="4"/>
  <c r="O107" i="4"/>
  <c r="M107" i="4"/>
  <c r="L107" i="4"/>
  <c r="G107" i="4"/>
  <c r="O108" i="4"/>
  <c r="M108" i="4"/>
  <c r="L108" i="4"/>
  <c r="G108" i="4"/>
  <c r="O109" i="4"/>
  <c r="M109" i="4"/>
  <c r="L109" i="4"/>
  <c r="G109" i="4"/>
  <c r="O110" i="4"/>
  <c r="M110" i="4"/>
  <c r="L110" i="4"/>
  <c r="G110" i="4"/>
  <c r="P102" i="4"/>
  <c r="P103" i="4"/>
  <c r="P104" i="4"/>
  <c r="P105" i="4"/>
  <c r="P106" i="4"/>
  <c r="P107" i="4"/>
  <c r="P108" i="4"/>
  <c r="P109" i="4"/>
  <c r="P110" i="4"/>
  <c r="P101" i="4"/>
  <c r="P100" i="4"/>
  <c r="O111" i="4"/>
  <c r="P111" i="4" s="1"/>
  <c r="M111" i="4"/>
  <c r="L111" i="4"/>
  <c r="G111" i="4"/>
  <c r="O81" i="4"/>
  <c r="P81" i="4" s="1"/>
  <c r="M81" i="4"/>
  <c r="L81" i="4"/>
  <c r="G81" i="4"/>
  <c r="O82" i="4"/>
  <c r="M82" i="4"/>
  <c r="L82" i="4"/>
  <c r="G82" i="4"/>
  <c r="O83" i="4"/>
  <c r="M83" i="4"/>
  <c r="L83" i="4"/>
  <c r="G83" i="4"/>
  <c r="O84" i="4"/>
  <c r="M84" i="4"/>
  <c r="L84" i="4"/>
  <c r="G84" i="4"/>
  <c r="O85" i="4"/>
  <c r="M85" i="4"/>
  <c r="L85" i="4"/>
  <c r="G85" i="4"/>
  <c r="O86" i="4"/>
  <c r="P86" i="4" s="1"/>
  <c r="M86" i="4"/>
  <c r="L86" i="4"/>
  <c r="G86" i="4"/>
  <c r="O87" i="4"/>
  <c r="M87" i="4"/>
  <c r="L87" i="4"/>
  <c r="H87" i="4"/>
  <c r="G87" i="4"/>
  <c r="O88" i="4"/>
  <c r="P88" i="4" s="1"/>
  <c r="M88" i="4"/>
  <c r="L88" i="4"/>
  <c r="G88" i="4"/>
  <c r="O89" i="4"/>
  <c r="P89" i="4" s="1"/>
  <c r="M89" i="4"/>
  <c r="L89" i="4"/>
  <c r="G89" i="4"/>
  <c r="O90" i="4"/>
  <c r="M90" i="4"/>
  <c r="L90" i="4"/>
  <c r="G90" i="4"/>
  <c r="S90" i="4" s="1"/>
  <c r="O91" i="4"/>
  <c r="P91" i="4" s="1"/>
  <c r="M91" i="4"/>
  <c r="R91" i="4" s="1"/>
  <c r="L91" i="4"/>
  <c r="G91" i="4"/>
  <c r="P82" i="4"/>
  <c r="P83" i="4"/>
  <c r="P84" i="4"/>
  <c r="P85" i="4"/>
  <c r="P87" i="4"/>
  <c r="P90" i="4"/>
  <c r="O92" i="4"/>
  <c r="P92" i="4" s="1"/>
  <c r="M92" i="4"/>
  <c r="L92" i="4"/>
  <c r="G92" i="4"/>
  <c r="O62" i="4"/>
  <c r="M62" i="4"/>
  <c r="L62" i="4"/>
  <c r="G62" i="4"/>
  <c r="O63" i="4"/>
  <c r="P63" i="4" s="1"/>
  <c r="M63" i="4"/>
  <c r="L63" i="4"/>
  <c r="G63" i="4"/>
  <c r="O64" i="4"/>
  <c r="P64" i="4" s="1"/>
  <c r="M64" i="4"/>
  <c r="L64" i="4"/>
  <c r="G64" i="4"/>
  <c r="O65" i="4"/>
  <c r="M65" i="4"/>
  <c r="L65" i="4"/>
  <c r="G65" i="4"/>
  <c r="O66" i="4"/>
  <c r="P66" i="4" s="1"/>
  <c r="M66" i="4"/>
  <c r="L66" i="4"/>
  <c r="G66" i="4"/>
  <c r="O67" i="4"/>
  <c r="P67" i="4" s="1"/>
  <c r="M67" i="4"/>
  <c r="L67" i="4"/>
  <c r="G67" i="4"/>
  <c r="O68" i="4"/>
  <c r="P68" i="4" s="1"/>
  <c r="M68" i="4"/>
  <c r="L68" i="4"/>
  <c r="G68" i="4"/>
  <c r="O69" i="4"/>
  <c r="M69" i="4"/>
  <c r="L69" i="4"/>
  <c r="G69" i="4"/>
  <c r="O70" i="4"/>
  <c r="P70" i="4" s="1"/>
  <c r="M70" i="4"/>
  <c r="L70" i="4"/>
  <c r="G70" i="4"/>
  <c r="S70" i="4" s="1"/>
  <c r="O71" i="4"/>
  <c r="M71" i="4"/>
  <c r="L71" i="4"/>
  <c r="G71" i="4"/>
  <c r="O72" i="4"/>
  <c r="P72" i="4" s="1"/>
  <c r="M72" i="4"/>
  <c r="L72" i="4"/>
  <c r="G72" i="4"/>
  <c r="P71" i="4"/>
  <c r="P69" i="4"/>
  <c r="P65" i="4"/>
  <c r="P62" i="4"/>
  <c r="O73" i="4"/>
  <c r="P73" i="4" s="1"/>
  <c r="M73" i="4"/>
  <c r="L73" i="4"/>
  <c r="G73" i="4"/>
  <c r="O43" i="4"/>
  <c r="C5" i="4" s="1"/>
  <c r="N43" i="4"/>
  <c r="L43" i="4"/>
  <c r="G43" i="4"/>
  <c r="O44" i="4"/>
  <c r="N44" i="4"/>
  <c r="L44" i="4"/>
  <c r="H44" i="4"/>
  <c r="G44" i="4"/>
  <c r="O45" i="4"/>
  <c r="P45" i="4" s="1"/>
  <c r="N45" i="4"/>
  <c r="L45" i="4"/>
  <c r="G45" i="4"/>
  <c r="S45" i="4" s="1"/>
  <c r="O46" i="4"/>
  <c r="N46" i="4"/>
  <c r="L46" i="4"/>
  <c r="G46" i="4"/>
  <c r="O47" i="4"/>
  <c r="P47" i="4" s="1"/>
  <c r="N47" i="4"/>
  <c r="L47" i="4"/>
  <c r="H47" i="4"/>
  <c r="G47" i="4"/>
  <c r="O48" i="4"/>
  <c r="N48" i="4"/>
  <c r="L48" i="4"/>
  <c r="G48" i="4"/>
  <c r="O49" i="4"/>
  <c r="N49" i="4"/>
  <c r="L49" i="4"/>
  <c r="H49" i="4"/>
  <c r="G49" i="4"/>
  <c r="O50" i="4"/>
  <c r="P50" i="4" s="1"/>
  <c r="N50" i="4"/>
  <c r="L50" i="4"/>
  <c r="H50" i="4"/>
  <c r="G50" i="4"/>
  <c r="O51" i="4"/>
  <c r="N51" i="4"/>
  <c r="L51" i="4"/>
  <c r="H51" i="4"/>
  <c r="G51" i="4"/>
  <c r="O52" i="4"/>
  <c r="P52" i="4" s="1"/>
  <c r="N52" i="4"/>
  <c r="L53" i="4"/>
  <c r="L52" i="4"/>
  <c r="G52" i="4"/>
  <c r="O53" i="4"/>
  <c r="P53" i="4" s="1"/>
  <c r="N53" i="4"/>
  <c r="G53" i="4"/>
  <c r="P51" i="4"/>
  <c r="P49" i="4"/>
  <c r="P48" i="4"/>
  <c r="P46" i="4"/>
  <c r="P44" i="4"/>
  <c r="P43" i="4"/>
  <c r="O54" i="4"/>
  <c r="P54" i="4" s="1"/>
  <c r="N54" i="4"/>
  <c r="L54" i="4"/>
  <c r="G54" i="4"/>
  <c r="S87" i="4" l="1"/>
  <c r="O24" i="4"/>
  <c r="C4" i="4" s="1"/>
  <c r="M24" i="4"/>
  <c r="K24" i="4"/>
  <c r="V24" i="4" s="1"/>
  <c r="P25" i="4"/>
  <c r="C7" i="4" s="1"/>
  <c r="O25" i="4"/>
  <c r="C6" i="4" s="1"/>
  <c r="M25" i="4"/>
  <c r="L25" i="4"/>
  <c r="K25" i="4"/>
  <c r="G25" i="4"/>
  <c r="P26" i="4"/>
  <c r="C9" i="4" s="1"/>
  <c r="O26" i="4"/>
  <c r="C8" i="4" s="1"/>
  <c r="M26" i="4"/>
  <c r="L26" i="4"/>
  <c r="K26" i="4"/>
  <c r="G26" i="4"/>
  <c r="P27" i="4"/>
  <c r="C11" i="4" s="1"/>
  <c r="O27" i="4"/>
  <c r="C10" i="4" s="1"/>
  <c r="M27" i="4"/>
  <c r="L27" i="4"/>
  <c r="K27" i="4"/>
  <c r="G27" i="4"/>
  <c r="O28" i="4"/>
  <c r="C12" i="4" s="1"/>
  <c r="P28" i="4"/>
  <c r="C13" i="4" s="1"/>
  <c r="M28" i="4"/>
  <c r="L28" i="4"/>
  <c r="K28" i="4"/>
  <c r="H28" i="4"/>
  <c r="G28" i="4"/>
  <c r="P29" i="4"/>
  <c r="C15" i="4" s="1"/>
  <c r="O29" i="4"/>
  <c r="C14" i="4" s="1"/>
  <c r="M29" i="4"/>
  <c r="L29" i="4"/>
  <c r="K29" i="4"/>
  <c r="H29" i="4"/>
  <c r="G29" i="4"/>
  <c r="P30" i="4"/>
  <c r="C17" i="4" s="1"/>
  <c r="O30" i="4"/>
  <c r="C16" i="4" s="1"/>
  <c r="M30" i="4"/>
  <c r="H30" i="4"/>
  <c r="L30" i="4"/>
  <c r="K30" i="4"/>
  <c r="G30" i="4"/>
  <c r="P31" i="4"/>
  <c r="C19" i="4" s="1"/>
  <c r="O31" i="4"/>
  <c r="C18" i="4" s="1"/>
  <c r="M31" i="4"/>
  <c r="L31" i="4"/>
  <c r="K31" i="4"/>
  <c r="H31" i="4"/>
  <c r="G31" i="4"/>
  <c r="P32" i="4"/>
  <c r="C21" i="4" s="1"/>
  <c r="O32" i="4"/>
  <c r="C20" i="4" s="1"/>
  <c r="M32" i="4"/>
  <c r="L32" i="4"/>
  <c r="K32" i="4"/>
  <c r="H32" i="4"/>
  <c r="G32" i="4"/>
  <c r="N33" i="4"/>
  <c r="K33" i="4"/>
  <c r="P33" i="4"/>
  <c r="C23" i="4" s="1"/>
  <c r="O33" i="4"/>
  <c r="C22" i="4" s="1"/>
  <c r="M33" i="4"/>
  <c r="L33" i="4"/>
  <c r="G33" i="4"/>
  <c r="P34" i="4"/>
  <c r="L34" i="4"/>
  <c r="O34" i="4"/>
  <c r="C24" i="4" s="1"/>
  <c r="M34" i="4"/>
  <c r="H34" i="4"/>
  <c r="G34" i="4"/>
  <c r="Q33" i="4"/>
  <c r="Q32" i="4"/>
  <c r="Q31" i="4"/>
  <c r="Q30" i="4"/>
  <c r="Q29" i="4"/>
  <c r="Q28" i="4"/>
  <c r="Q27" i="4"/>
  <c r="Q26" i="4"/>
  <c r="Q25" i="4"/>
  <c r="P35" i="4"/>
  <c r="O35" i="4"/>
  <c r="C26" i="4" s="1"/>
  <c r="M35" i="4"/>
  <c r="L35" i="4"/>
  <c r="K35" i="4"/>
  <c r="J36" i="4"/>
  <c r="H35" i="4"/>
  <c r="G35" i="4"/>
  <c r="R15" i="4"/>
  <c r="N17" i="4"/>
  <c r="N16" i="4"/>
  <c r="N15" i="4"/>
  <c r="N14" i="4"/>
  <c r="N13" i="4"/>
  <c r="N12" i="4"/>
  <c r="N11" i="4"/>
  <c r="N10" i="4"/>
  <c r="P179" i="4"/>
  <c r="Q179" i="4" s="1"/>
  <c r="R179" i="4"/>
  <c r="S179" i="4"/>
  <c r="U179" i="4"/>
  <c r="W179" i="4" s="1"/>
  <c r="P180" i="4"/>
  <c r="Q180" i="4" s="1"/>
  <c r="R180" i="4"/>
  <c r="S180" i="4"/>
  <c r="U180" i="4"/>
  <c r="W180" i="4" s="1"/>
  <c r="P181" i="4"/>
  <c r="Q181" i="4" s="1"/>
  <c r="R181" i="4"/>
  <c r="S181" i="4"/>
  <c r="U181" i="4"/>
  <c r="P182" i="4"/>
  <c r="Q182" i="4" s="1"/>
  <c r="R182" i="4"/>
  <c r="S182" i="4"/>
  <c r="U182" i="4"/>
  <c r="P183" i="4"/>
  <c r="Q183" i="4" s="1"/>
  <c r="R183" i="4"/>
  <c r="S183" i="4"/>
  <c r="U183" i="4"/>
  <c r="P184" i="4"/>
  <c r="Q184" i="4" s="1"/>
  <c r="R184" i="4"/>
  <c r="S184" i="4"/>
  <c r="U184" i="4"/>
  <c r="P185" i="4"/>
  <c r="Q185" i="4" s="1"/>
  <c r="R185" i="4"/>
  <c r="U185" i="4"/>
  <c r="P186" i="4"/>
  <c r="Q186" i="4" s="1"/>
  <c r="R186" i="4"/>
  <c r="S186" i="4"/>
  <c r="U186" i="4"/>
  <c r="P187" i="4"/>
  <c r="Q187" i="4" s="1"/>
  <c r="R187" i="4"/>
  <c r="S187" i="4"/>
  <c r="U187" i="4"/>
  <c r="U167" i="4"/>
  <c r="W167" i="4" s="1"/>
  <c r="S167" i="4"/>
  <c r="R167" i="4"/>
  <c r="P167" i="4"/>
  <c r="Q167" i="4" s="1"/>
  <c r="U166" i="4"/>
  <c r="W166" i="4" s="1"/>
  <c r="R166" i="4"/>
  <c r="P166" i="4"/>
  <c r="Q166" i="4" s="1"/>
  <c r="U165" i="4"/>
  <c r="W165" i="4" s="1"/>
  <c r="S165" i="4"/>
  <c r="R165" i="4"/>
  <c r="P165" i="4"/>
  <c r="Q165" i="4" s="1"/>
  <c r="U164" i="4"/>
  <c r="W164" i="4" s="1"/>
  <c r="S164" i="4"/>
  <c r="R164" i="4"/>
  <c r="P164" i="4"/>
  <c r="Q164" i="4" s="1"/>
  <c r="U163" i="4"/>
  <c r="W163" i="4" s="1"/>
  <c r="S163" i="4"/>
  <c r="R163" i="4"/>
  <c r="P163" i="4"/>
  <c r="Q163" i="4" s="1"/>
  <c r="U162" i="4"/>
  <c r="W162" i="4" s="1"/>
  <c r="S162" i="4"/>
  <c r="R162" i="4"/>
  <c r="P162" i="4"/>
  <c r="Q162" i="4" s="1"/>
  <c r="N26" i="4"/>
  <c r="K55" i="4"/>
  <c r="L24" i="4"/>
  <c r="P7" i="4"/>
  <c r="P8" i="4"/>
  <c r="P9" i="4"/>
  <c r="P10" i="4"/>
  <c r="P11" i="4"/>
  <c r="P12" i="4"/>
  <c r="P13" i="4"/>
  <c r="P14" i="4"/>
  <c r="P15" i="4"/>
  <c r="P16" i="4"/>
  <c r="P17" i="4"/>
  <c r="K7" i="4"/>
  <c r="K8" i="4"/>
  <c r="K9" i="4"/>
  <c r="S9" i="4" s="1"/>
  <c r="K10" i="4"/>
  <c r="K11" i="4"/>
  <c r="S11" i="4" s="1"/>
  <c r="K12" i="4"/>
  <c r="K13" i="4"/>
  <c r="S13" i="4" s="1"/>
  <c r="K14" i="4"/>
  <c r="K15" i="4"/>
  <c r="S15" i="4" s="1"/>
  <c r="K16" i="4"/>
  <c r="K17" i="4"/>
  <c r="S17" i="4" s="1"/>
  <c r="K6" i="4"/>
  <c r="P6" i="4"/>
  <c r="N188" i="4"/>
  <c r="M188" i="4"/>
  <c r="L188" i="4"/>
  <c r="K188" i="4"/>
  <c r="J188" i="4"/>
  <c r="I188" i="4"/>
  <c r="W187" i="4"/>
  <c r="H188" i="4"/>
  <c r="W181" i="4"/>
  <c r="U178" i="4"/>
  <c r="W178" i="4" s="1"/>
  <c r="S178" i="4"/>
  <c r="R178" i="4"/>
  <c r="P178" i="4"/>
  <c r="Q178" i="4" s="1"/>
  <c r="U177" i="4"/>
  <c r="W177" i="4" s="1"/>
  <c r="S177" i="4"/>
  <c r="R177" i="4"/>
  <c r="P177" i="4"/>
  <c r="Q177" i="4" s="1"/>
  <c r="U176" i="4"/>
  <c r="S176" i="4"/>
  <c r="R176" i="4"/>
  <c r="M169" i="4"/>
  <c r="L169" i="4"/>
  <c r="K169" i="4"/>
  <c r="J169" i="4"/>
  <c r="I169" i="4"/>
  <c r="U168" i="4"/>
  <c r="W168" i="4" s="1"/>
  <c r="S168" i="4"/>
  <c r="R168" i="4"/>
  <c r="P168" i="4"/>
  <c r="Q168" i="4" s="1"/>
  <c r="H169" i="4"/>
  <c r="N169" i="4"/>
  <c r="U161" i="4"/>
  <c r="W161" i="4" s="1"/>
  <c r="S161" i="4"/>
  <c r="R161" i="4"/>
  <c r="P161" i="4"/>
  <c r="Q161" i="4" s="1"/>
  <c r="U160" i="4"/>
  <c r="W160" i="4" s="1"/>
  <c r="S160" i="4"/>
  <c r="R160" i="4"/>
  <c r="P160" i="4"/>
  <c r="Q160" i="4" s="1"/>
  <c r="U159" i="4"/>
  <c r="W159" i="4" s="1"/>
  <c r="S159" i="4"/>
  <c r="R159" i="4"/>
  <c r="P159" i="4"/>
  <c r="Q159" i="4" s="1"/>
  <c r="U158" i="4"/>
  <c r="W158" i="4" s="1"/>
  <c r="S158" i="4"/>
  <c r="R158" i="4"/>
  <c r="P158" i="4"/>
  <c r="Q158" i="4" s="1"/>
  <c r="U157" i="4"/>
  <c r="W157" i="4" s="1"/>
  <c r="S157" i="4"/>
  <c r="R157" i="4"/>
  <c r="P157" i="4"/>
  <c r="Q157" i="4" s="1"/>
  <c r="M150" i="4"/>
  <c r="L150" i="4"/>
  <c r="K150" i="4"/>
  <c r="J150" i="4"/>
  <c r="I150" i="4"/>
  <c r="V149" i="4"/>
  <c r="R149" i="4"/>
  <c r="S149" i="4"/>
  <c r="V148" i="4"/>
  <c r="R148" i="4"/>
  <c r="V147" i="4"/>
  <c r="R147" i="4"/>
  <c r="V146" i="4"/>
  <c r="R146" i="4"/>
  <c r="V145" i="4"/>
  <c r="R145" i="4"/>
  <c r="V144" i="4"/>
  <c r="R144" i="4"/>
  <c r="S144" i="4"/>
  <c r="V143" i="4"/>
  <c r="R143" i="4"/>
  <c r="V142" i="4"/>
  <c r="R142" i="4"/>
  <c r="U141" i="4"/>
  <c r="W141" i="4" s="1"/>
  <c r="S141" i="4"/>
  <c r="R141" i="4"/>
  <c r="U140" i="4"/>
  <c r="W140" i="4" s="1"/>
  <c r="S140" i="4"/>
  <c r="R140" i="4"/>
  <c r="U139" i="4"/>
  <c r="W139" i="4" s="1"/>
  <c r="S139" i="4"/>
  <c r="R139" i="4"/>
  <c r="U138" i="4"/>
  <c r="W138" i="4" s="1"/>
  <c r="S138" i="4"/>
  <c r="R138" i="4"/>
  <c r="N131" i="4"/>
  <c r="M131" i="4"/>
  <c r="L131" i="4"/>
  <c r="K131" i="4"/>
  <c r="J131" i="4"/>
  <c r="V130" i="4"/>
  <c r="R130" i="4"/>
  <c r="S130" i="4"/>
  <c r="V129" i="4"/>
  <c r="S129" i="4"/>
  <c r="R129" i="4"/>
  <c r="V128" i="4"/>
  <c r="R128" i="4"/>
  <c r="I131" i="4"/>
  <c r="V127" i="4"/>
  <c r="R127" i="4"/>
  <c r="U127" i="4"/>
  <c r="W127" i="4" s="1"/>
  <c r="V126" i="4"/>
  <c r="R126" i="4"/>
  <c r="U126" i="4"/>
  <c r="W126" i="4" s="1"/>
  <c r="V125" i="4"/>
  <c r="R125" i="4"/>
  <c r="U125" i="4"/>
  <c r="W125" i="4" s="1"/>
  <c r="V124" i="4"/>
  <c r="R124" i="4"/>
  <c r="U124" i="4"/>
  <c r="W124" i="4" s="1"/>
  <c r="V123" i="4"/>
  <c r="R123" i="4"/>
  <c r="U123" i="4"/>
  <c r="W123" i="4" s="1"/>
  <c r="V122" i="4"/>
  <c r="R122" i="4"/>
  <c r="H131" i="4"/>
  <c r="V121" i="4"/>
  <c r="R121" i="4"/>
  <c r="S121" i="4"/>
  <c r="V120" i="4"/>
  <c r="S120" i="4"/>
  <c r="R120" i="4"/>
  <c r="V119" i="4"/>
  <c r="R119" i="4"/>
  <c r="R131" i="4" s="1"/>
  <c r="Q131" i="4"/>
  <c r="G131" i="4"/>
  <c r="Q112" i="4"/>
  <c r="N112" i="4"/>
  <c r="K112" i="4"/>
  <c r="J112" i="4"/>
  <c r="I112" i="4"/>
  <c r="V111" i="4"/>
  <c r="R111" i="4"/>
  <c r="U111" i="4"/>
  <c r="W111" i="4" s="1"/>
  <c r="S111" i="4"/>
  <c r="V110" i="4"/>
  <c r="R110" i="4"/>
  <c r="U110" i="4"/>
  <c r="S110" i="4"/>
  <c r="V109" i="4"/>
  <c r="R109" i="4"/>
  <c r="U109" i="4"/>
  <c r="W109" i="4" s="1"/>
  <c r="S109" i="4"/>
  <c r="V108" i="4"/>
  <c r="R108" i="4"/>
  <c r="U108" i="4"/>
  <c r="S108" i="4"/>
  <c r="V107" i="4"/>
  <c r="R107" i="4"/>
  <c r="U107" i="4"/>
  <c r="W107" i="4" s="1"/>
  <c r="S107" i="4"/>
  <c r="V106" i="4"/>
  <c r="R106" i="4"/>
  <c r="V105" i="4"/>
  <c r="R105" i="4"/>
  <c r="H112" i="4"/>
  <c r="V104" i="4"/>
  <c r="R104" i="4"/>
  <c r="U104" i="4"/>
  <c r="W104" i="4" s="1"/>
  <c r="S104" i="4"/>
  <c r="V103" i="4"/>
  <c r="R103" i="4"/>
  <c r="U103" i="4"/>
  <c r="S103" i="4"/>
  <c r="V102" i="4"/>
  <c r="R102" i="4"/>
  <c r="U102" i="4"/>
  <c r="W102" i="4" s="1"/>
  <c r="S102" i="4"/>
  <c r="V101" i="4"/>
  <c r="R101" i="4"/>
  <c r="U101" i="4"/>
  <c r="S101" i="4"/>
  <c r="V100" i="4"/>
  <c r="P112" i="4"/>
  <c r="R100" i="4"/>
  <c r="L112" i="4"/>
  <c r="Q93" i="4"/>
  <c r="K93" i="4"/>
  <c r="J93" i="4"/>
  <c r="I93" i="4"/>
  <c r="V92" i="4"/>
  <c r="N92" i="4"/>
  <c r="N93" i="4" s="1"/>
  <c r="R92" i="4"/>
  <c r="U92" i="4"/>
  <c r="S92" i="4"/>
  <c r="V91" i="4"/>
  <c r="U91" i="4"/>
  <c r="S91" i="4"/>
  <c r="V90" i="4"/>
  <c r="R90" i="4"/>
  <c r="U90" i="4"/>
  <c r="V89" i="4"/>
  <c r="R89" i="4"/>
  <c r="U89" i="4"/>
  <c r="W89" i="4" s="1"/>
  <c r="S89" i="4"/>
  <c r="V88" i="4"/>
  <c r="R88" i="4"/>
  <c r="U88" i="4"/>
  <c r="S88" i="4"/>
  <c r="V87" i="4"/>
  <c r="R87" i="4"/>
  <c r="V86" i="4"/>
  <c r="S86" i="4"/>
  <c r="H93" i="4"/>
  <c r="V85" i="4"/>
  <c r="R85" i="4"/>
  <c r="S85" i="4"/>
  <c r="V84" i="4"/>
  <c r="R84" i="4"/>
  <c r="S84" i="4"/>
  <c r="V83" i="4"/>
  <c r="R83" i="4"/>
  <c r="S83" i="4"/>
  <c r="V82" i="4"/>
  <c r="R82" i="4"/>
  <c r="S82" i="4"/>
  <c r="V81" i="4"/>
  <c r="R81" i="4"/>
  <c r="S81" i="4"/>
  <c r="Q74" i="4"/>
  <c r="N74" i="4"/>
  <c r="K74" i="4"/>
  <c r="J74" i="4"/>
  <c r="I74" i="4"/>
  <c r="H74" i="4"/>
  <c r="V73" i="4"/>
  <c r="R73" i="4"/>
  <c r="S73" i="4"/>
  <c r="V72" i="4"/>
  <c r="R72" i="4"/>
  <c r="S72" i="4"/>
  <c r="V71" i="4"/>
  <c r="R71" i="4"/>
  <c r="S71" i="4"/>
  <c r="V70" i="4"/>
  <c r="R70" i="4"/>
  <c r="V69" i="4"/>
  <c r="R69" i="4"/>
  <c r="S69" i="4"/>
  <c r="V68" i="4"/>
  <c r="R68" i="4"/>
  <c r="S68" i="4"/>
  <c r="V67" i="4"/>
  <c r="R67" i="4"/>
  <c r="S67" i="4"/>
  <c r="V66" i="4"/>
  <c r="R66" i="4"/>
  <c r="S66" i="4"/>
  <c r="V65" i="4"/>
  <c r="R65" i="4"/>
  <c r="S65" i="4"/>
  <c r="V64" i="4"/>
  <c r="R64" i="4"/>
  <c r="S64" i="4"/>
  <c r="V63" i="4"/>
  <c r="R63" i="4"/>
  <c r="S63" i="4"/>
  <c r="V62" i="4"/>
  <c r="O74" i="4"/>
  <c r="M74" i="4"/>
  <c r="L74" i="4"/>
  <c r="G74" i="4"/>
  <c r="G75" i="4" s="1"/>
  <c r="M55" i="4"/>
  <c r="J55" i="4"/>
  <c r="I56" i="4" s="1"/>
  <c r="V54" i="4"/>
  <c r="R54" i="4"/>
  <c r="U54" i="4"/>
  <c r="W54" i="4" s="1"/>
  <c r="S54" i="4"/>
  <c r="V53" i="4"/>
  <c r="R53" i="4"/>
  <c r="U53" i="4"/>
  <c r="W53" i="4" s="1"/>
  <c r="V52" i="4"/>
  <c r="S52" i="4"/>
  <c r="R52" i="4"/>
  <c r="U52" i="4"/>
  <c r="V51" i="4"/>
  <c r="R51" i="4"/>
  <c r="U51" i="4"/>
  <c r="W51" i="4" s="1"/>
  <c r="V50" i="4"/>
  <c r="S50" i="4"/>
  <c r="R50" i="4"/>
  <c r="U50" i="4"/>
  <c r="V49" i="4"/>
  <c r="R49" i="4"/>
  <c r="U49" i="4"/>
  <c r="W49" i="4" s="1"/>
  <c r="S49" i="4"/>
  <c r="V48" i="4"/>
  <c r="R48" i="4"/>
  <c r="U48" i="4"/>
  <c r="W48" i="4" s="1"/>
  <c r="S48" i="4"/>
  <c r="V47" i="4"/>
  <c r="R47" i="4"/>
  <c r="U47" i="4"/>
  <c r="W47" i="4" s="1"/>
  <c r="S47" i="4"/>
  <c r="V46" i="4"/>
  <c r="R46" i="4"/>
  <c r="U46" i="4"/>
  <c r="W46" i="4" s="1"/>
  <c r="S46" i="4"/>
  <c r="V45" i="4"/>
  <c r="R45" i="4"/>
  <c r="H55" i="4"/>
  <c r="U45" i="4"/>
  <c r="V44" i="4"/>
  <c r="R44" i="4"/>
  <c r="S44" i="4"/>
  <c r="V43" i="4"/>
  <c r="R43" i="4"/>
  <c r="O55" i="4"/>
  <c r="N55" i="4"/>
  <c r="S43" i="4"/>
  <c r="U36" i="4"/>
  <c r="R36" i="4"/>
  <c r="L36" i="4"/>
  <c r="I36" i="4"/>
  <c r="Y35" i="4"/>
  <c r="T35" i="4"/>
  <c r="S35" i="4"/>
  <c r="Y34" i="4"/>
  <c r="T34" i="4"/>
  <c r="Y33" i="4"/>
  <c r="T33" i="4"/>
  <c r="X33" i="4"/>
  <c r="Z33" i="4" s="1"/>
  <c r="Y32" i="4"/>
  <c r="T32" i="4"/>
  <c r="S32" i="4"/>
  <c r="V32" i="4"/>
  <c r="Y31" i="4"/>
  <c r="T31" i="4"/>
  <c r="S31" i="4"/>
  <c r="V31" i="4"/>
  <c r="Y30" i="4"/>
  <c r="T30" i="4"/>
  <c r="S30" i="4"/>
  <c r="V30" i="4"/>
  <c r="Y29" i="4"/>
  <c r="T29" i="4"/>
  <c r="S29" i="4"/>
  <c r="V29" i="4"/>
  <c r="Y28" i="4"/>
  <c r="T28" i="4"/>
  <c r="S28" i="4"/>
  <c r="V28" i="4"/>
  <c r="Y27" i="4"/>
  <c r="T27" i="4"/>
  <c r="S27" i="4"/>
  <c r="V27" i="4"/>
  <c r="Y26" i="4"/>
  <c r="T26" i="4"/>
  <c r="S26" i="4"/>
  <c r="H36" i="4"/>
  <c r="Y25" i="4"/>
  <c r="T25" i="4"/>
  <c r="V25" i="4"/>
  <c r="Y24" i="4"/>
  <c r="P36" i="4"/>
  <c r="O36" i="4"/>
  <c r="M36" i="4"/>
  <c r="Q18" i="4"/>
  <c r="O18" i="4"/>
  <c r="M18" i="4"/>
  <c r="L18" i="4"/>
  <c r="J18" i="4"/>
  <c r="I18" i="4"/>
  <c r="H18" i="4"/>
  <c r="G18" i="4"/>
  <c r="R17" i="4"/>
  <c r="S16" i="4"/>
  <c r="R16" i="4"/>
  <c r="S14" i="4"/>
  <c r="R14" i="4"/>
  <c r="R13" i="4"/>
  <c r="S12" i="4"/>
  <c r="R12" i="4"/>
  <c r="R11" i="4"/>
  <c r="S10" i="4"/>
  <c r="R10" i="4"/>
  <c r="R9" i="4"/>
  <c r="S8" i="4"/>
  <c r="R8" i="4"/>
  <c r="S7" i="4"/>
  <c r="R7" i="4"/>
  <c r="S6" i="4"/>
  <c r="R6" i="4"/>
  <c r="Q35" i="4" l="1"/>
  <c r="C27" i="4"/>
  <c r="Q34" i="4"/>
  <c r="C25" i="4"/>
  <c r="C31" i="4" s="1"/>
  <c r="R150" i="4"/>
  <c r="V35" i="4"/>
  <c r="V33" i="4"/>
  <c r="C30" i="4"/>
  <c r="V34" i="4"/>
  <c r="W91" i="4"/>
  <c r="I151" i="4"/>
  <c r="G132" i="4"/>
  <c r="I132" i="4"/>
  <c r="V26" i="4"/>
  <c r="G36" i="4"/>
  <c r="N18" i="4"/>
  <c r="M19" i="4" s="1"/>
  <c r="R18" i="4"/>
  <c r="I37" i="4"/>
  <c r="V55" i="4"/>
  <c r="W45" i="4"/>
  <c r="W50" i="4"/>
  <c r="V74" i="4"/>
  <c r="V131" i="4"/>
  <c r="P18" i="4"/>
  <c r="L55" i="4"/>
  <c r="I170" i="4"/>
  <c r="I189" i="4"/>
  <c r="Q169" i="4"/>
  <c r="U87" i="4"/>
  <c r="W87" i="4" s="1"/>
  <c r="U86" i="4"/>
  <c r="W86" i="4" s="1"/>
  <c r="W88" i="4"/>
  <c r="W90" i="4"/>
  <c r="W92" i="4"/>
  <c r="V112" i="4"/>
  <c r="W101" i="4"/>
  <c r="W103" i="4"/>
  <c r="U106" i="4"/>
  <c r="W106" i="4" s="1"/>
  <c r="W108" i="4"/>
  <c r="W110" i="4"/>
  <c r="N150" i="4"/>
  <c r="D30" i="4" s="1"/>
  <c r="W182" i="4"/>
  <c r="V188" i="4"/>
  <c r="K18" i="4"/>
  <c r="G37" i="4"/>
  <c r="Y36" i="4"/>
  <c r="R55" i="4"/>
  <c r="W52" i="4"/>
  <c r="U63" i="4"/>
  <c r="W63" i="4" s="1"/>
  <c r="U64" i="4"/>
  <c r="W64" i="4" s="1"/>
  <c r="U65" i="4"/>
  <c r="W65" i="4" s="1"/>
  <c r="U66" i="4"/>
  <c r="W66" i="4" s="1"/>
  <c r="U67" i="4"/>
  <c r="W67" i="4" s="1"/>
  <c r="U68" i="4"/>
  <c r="W68" i="4" s="1"/>
  <c r="U69" i="4"/>
  <c r="W69" i="4" s="1"/>
  <c r="U70" i="4"/>
  <c r="W70" i="4" s="1"/>
  <c r="U71" i="4"/>
  <c r="W71" i="4" s="1"/>
  <c r="U72" i="4"/>
  <c r="W72" i="4" s="1"/>
  <c r="U73" i="4"/>
  <c r="W73" i="4" s="1"/>
  <c r="L93" i="4"/>
  <c r="U82" i="4"/>
  <c r="W82" i="4" s="1"/>
  <c r="U83" i="4"/>
  <c r="W83" i="4" s="1"/>
  <c r="U84" i="4"/>
  <c r="W84" i="4" s="1"/>
  <c r="U85" i="4"/>
  <c r="W85" i="4" s="1"/>
  <c r="V93" i="4"/>
  <c r="I94" i="4"/>
  <c r="G112" i="4"/>
  <c r="G113" i="4" s="1"/>
  <c r="R112" i="4"/>
  <c r="S105" i="4"/>
  <c r="U105" i="4"/>
  <c r="W105" i="4" s="1"/>
  <c r="I113" i="4"/>
  <c r="O131" i="4"/>
  <c r="U120" i="4"/>
  <c r="W120" i="4" s="1"/>
  <c r="S122" i="4"/>
  <c r="S123" i="4"/>
  <c r="S124" i="4"/>
  <c r="S125" i="4"/>
  <c r="S126" i="4"/>
  <c r="S127" i="4"/>
  <c r="S128" i="4"/>
  <c r="U129" i="4"/>
  <c r="W129" i="4" s="1"/>
  <c r="H150" i="4"/>
  <c r="U145" i="4"/>
  <c r="W145" i="4" s="1"/>
  <c r="S145" i="4"/>
  <c r="S146" i="4"/>
  <c r="U147" i="4"/>
  <c r="W147" i="4" s="1"/>
  <c r="U148" i="4"/>
  <c r="W148" i="4" s="1"/>
  <c r="U149" i="4"/>
  <c r="W149" i="4" s="1"/>
  <c r="V169" i="4"/>
  <c r="G169" i="4"/>
  <c r="G170" i="4" s="1"/>
  <c r="R188" i="4"/>
  <c r="W184" i="4"/>
  <c r="S18" i="4"/>
  <c r="P74" i="4"/>
  <c r="O75" i="4" s="1"/>
  <c r="Q36" i="4"/>
  <c r="P37" i="4" s="1"/>
  <c r="T24" i="4"/>
  <c r="T36" i="4" s="1"/>
  <c r="X26" i="4"/>
  <c r="Z26" i="4" s="1"/>
  <c r="N29" i="4"/>
  <c r="X29" i="4" s="1"/>
  <c r="Z29" i="4" s="1"/>
  <c r="N31" i="4"/>
  <c r="X31" i="4" s="1"/>
  <c r="Z31" i="4" s="1"/>
  <c r="N32" i="4"/>
  <c r="X32" i="4" s="1"/>
  <c r="Z32" i="4" s="1"/>
  <c r="N35" i="4"/>
  <c r="X35" i="4" s="1"/>
  <c r="Z35" i="4" s="1"/>
  <c r="K36" i="4"/>
  <c r="U43" i="4"/>
  <c r="U44" i="4"/>
  <c r="W44" i="4" s="1"/>
  <c r="S51" i="4"/>
  <c r="S53" i="4"/>
  <c r="G55" i="4"/>
  <c r="G56" i="4" s="1"/>
  <c r="R62" i="4"/>
  <c r="R74" i="4" s="1"/>
  <c r="U62" i="4"/>
  <c r="S93" i="4"/>
  <c r="G93" i="4"/>
  <c r="G94" i="4" s="1"/>
  <c r="N24" i="4"/>
  <c r="S24" i="4"/>
  <c r="N25" i="4"/>
  <c r="X25" i="4" s="1"/>
  <c r="Z25" i="4" s="1"/>
  <c r="S25" i="4"/>
  <c r="N27" i="4"/>
  <c r="X27" i="4" s="1"/>
  <c r="Z27" i="4" s="1"/>
  <c r="X28" i="4"/>
  <c r="Z28" i="4" s="1"/>
  <c r="N30" i="4"/>
  <c r="X30" i="4" s="1"/>
  <c r="Z30" i="4" s="1"/>
  <c r="N34" i="4"/>
  <c r="X34" i="4" s="1"/>
  <c r="Z34" i="4" s="1"/>
  <c r="S34" i="4"/>
  <c r="S62" i="4"/>
  <c r="S74" i="4" s="1"/>
  <c r="I75" i="4"/>
  <c r="P93" i="4"/>
  <c r="O93" i="4"/>
  <c r="U81" i="4"/>
  <c r="R86" i="4"/>
  <c r="R93" i="4" s="1"/>
  <c r="M93" i="4"/>
  <c r="S100" i="4"/>
  <c r="S106" i="4"/>
  <c r="M112" i="4"/>
  <c r="O112" i="4"/>
  <c r="O113" i="4" s="1"/>
  <c r="U119" i="4"/>
  <c r="U121" i="4"/>
  <c r="W121" i="4" s="1"/>
  <c r="U122" i="4"/>
  <c r="W122" i="4" s="1"/>
  <c r="U128" i="4"/>
  <c r="W128" i="4" s="1"/>
  <c r="U130" i="4"/>
  <c r="W130" i="4" s="1"/>
  <c r="P131" i="4"/>
  <c r="O132" i="4" s="1"/>
  <c r="Q150" i="4"/>
  <c r="G150" i="4"/>
  <c r="G151" i="4" s="1"/>
  <c r="S142" i="4"/>
  <c r="U142" i="4"/>
  <c r="U146" i="4"/>
  <c r="W146" i="4" s="1"/>
  <c r="P150" i="4"/>
  <c r="O169" i="4"/>
  <c r="W176" i="4"/>
  <c r="W183" i="4"/>
  <c r="G188" i="4"/>
  <c r="G189" i="4" s="1"/>
  <c r="U100" i="4"/>
  <c r="S119" i="4"/>
  <c r="O150" i="4"/>
  <c r="V150" i="4"/>
  <c r="U143" i="4"/>
  <c r="W143" i="4" s="1"/>
  <c r="S143" i="4"/>
  <c r="U144" i="4"/>
  <c r="W144" i="4" s="1"/>
  <c r="P169" i="4"/>
  <c r="R169" i="4"/>
  <c r="P188" i="4"/>
  <c r="Q188" i="4"/>
  <c r="S188" i="4"/>
  <c r="W185" i="4"/>
  <c r="W186" i="4"/>
  <c r="O188" i="4"/>
  <c r="C32" i="1"/>
  <c r="C31" i="1"/>
  <c r="C30" i="1"/>
  <c r="C6" i="1"/>
  <c r="C5" i="1"/>
  <c r="C4" i="1"/>
  <c r="D5" i="1"/>
  <c r="D4" i="1"/>
  <c r="K190" i="1"/>
  <c r="I190" i="1"/>
  <c r="K171" i="1"/>
  <c r="I171" i="1"/>
  <c r="K152" i="1"/>
  <c r="I152" i="1"/>
  <c r="K133" i="1"/>
  <c r="I133" i="1"/>
  <c r="K114" i="1"/>
  <c r="I114" i="1"/>
  <c r="K95" i="1"/>
  <c r="I95" i="1"/>
  <c r="K76" i="1"/>
  <c r="I76" i="1"/>
  <c r="K57" i="1"/>
  <c r="I57" i="1"/>
  <c r="K38" i="1"/>
  <c r="I38" i="1"/>
  <c r="W183" i="1"/>
  <c r="Q183" i="1"/>
  <c r="J183" i="1"/>
  <c r="I183" i="1"/>
  <c r="W184" i="1"/>
  <c r="Q184" i="1"/>
  <c r="I184" i="1"/>
  <c r="W185" i="1"/>
  <c r="Q185" i="1"/>
  <c r="J185" i="1"/>
  <c r="I185" i="1"/>
  <c r="W186" i="1"/>
  <c r="Q186" i="1"/>
  <c r="I186" i="1"/>
  <c r="W187" i="1"/>
  <c r="Q187" i="1"/>
  <c r="I187" i="1"/>
  <c r="W188" i="1"/>
  <c r="Q188" i="1"/>
  <c r="I188" i="1"/>
  <c r="W163" i="1"/>
  <c r="Q163" i="1"/>
  <c r="P163" i="1"/>
  <c r="I163" i="1"/>
  <c r="W164" i="1"/>
  <c r="Q164" i="1"/>
  <c r="J164" i="1"/>
  <c r="I164" i="1"/>
  <c r="W165" i="1"/>
  <c r="Q165" i="1"/>
  <c r="J165" i="1"/>
  <c r="I165" i="1"/>
  <c r="W166" i="1"/>
  <c r="Q166" i="1"/>
  <c r="I166" i="1"/>
  <c r="W167" i="1"/>
  <c r="Q167" i="1"/>
  <c r="I167" i="1"/>
  <c r="I168" i="1"/>
  <c r="W143" i="1"/>
  <c r="Q143" i="1"/>
  <c r="I143" i="1"/>
  <c r="W144" i="1"/>
  <c r="Q144" i="1"/>
  <c r="P144" i="1"/>
  <c r="J144" i="1"/>
  <c r="I144" i="1"/>
  <c r="W145" i="1"/>
  <c r="Q145" i="1"/>
  <c r="P145" i="1"/>
  <c r="J145" i="1"/>
  <c r="I145" i="1"/>
  <c r="W146" i="1"/>
  <c r="Q146" i="1"/>
  <c r="P146" i="1"/>
  <c r="J146" i="1"/>
  <c r="I146" i="1"/>
  <c r="W147" i="1"/>
  <c r="Q147" i="1"/>
  <c r="P147" i="1"/>
  <c r="J147" i="1"/>
  <c r="I147" i="1"/>
  <c r="W148" i="1"/>
  <c r="Q148" i="1"/>
  <c r="P148" i="1"/>
  <c r="I148" i="1"/>
  <c r="W149" i="1"/>
  <c r="Q149" i="1"/>
  <c r="P149" i="1"/>
  <c r="I149" i="1"/>
  <c r="W150" i="1"/>
  <c r="Q150" i="1"/>
  <c r="P150" i="1"/>
  <c r="I150" i="1"/>
  <c r="W189" i="1"/>
  <c r="Q189" i="1"/>
  <c r="P189" i="1"/>
  <c r="O189" i="1"/>
  <c r="N189" i="1"/>
  <c r="M189" i="1"/>
  <c r="L189" i="1"/>
  <c r="K189" i="1"/>
  <c r="J189" i="1"/>
  <c r="I189" i="1"/>
  <c r="V188" i="1"/>
  <c r="X188" i="1" s="1"/>
  <c r="U188" i="1"/>
  <c r="T188" i="1"/>
  <c r="R188" i="1"/>
  <c r="S188" i="1" s="1"/>
  <c r="V187" i="1"/>
  <c r="X187" i="1" s="1"/>
  <c r="U187" i="1"/>
  <c r="T187" i="1"/>
  <c r="R187" i="1"/>
  <c r="S187" i="1" s="1"/>
  <c r="V186" i="1"/>
  <c r="X186" i="1" s="1"/>
  <c r="U186" i="1"/>
  <c r="T186" i="1"/>
  <c r="R186" i="1"/>
  <c r="S186" i="1" s="1"/>
  <c r="V185" i="1"/>
  <c r="X185" i="1" s="1"/>
  <c r="U185" i="1"/>
  <c r="T185" i="1"/>
  <c r="R185" i="1"/>
  <c r="S185" i="1" s="1"/>
  <c r="V184" i="1"/>
  <c r="X184" i="1" s="1"/>
  <c r="U184" i="1"/>
  <c r="T184" i="1"/>
  <c r="R184" i="1"/>
  <c r="S184" i="1" s="1"/>
  <c r="V183" i="1"/>
  <c r="X183" i="1" s="1"/>
  <c r="U183" i="1"/>
  <c r="T183" i="1"/>
  <c r="R183" i="1"/>
  <c r="S183" i="1" s="1"/>
  <c r="V182" i="1"/>
  <c r="X182" i="1" s="1"/>
  <c r="U182" i="1"/>
  <c r="T182" i="1"/>
  <c r="R182" i="1"/>
  <c r="S182" i="1" s="1"/>
  <c r="V181" i="1"/>
  <c r="X181" i="1" s="1"/>
  <c r="U181" i="1"/>
  <c r="T181" i="1"/>
  <c r="R181" i="1"/>
  <c r="S181" i="1" s="1"/>
  <c r="V180" i="1"/>
  <c r="X180" i="1" s="1"/>
  <c r="U180" i="1"/>
  <c r="T180" i="1"/>
  <c r="R180" i="1"/>
  <c r="S180" i="1" s="1"/>
  <c r="V179" i="1"/>
  <c r="X179" i="1" s="1"/>
  <c r="U179" i="1"/>
  <c r="T179" i="1"/>
  <c r="R179" i="1"/>
  <c r="S179" i="1" s="1"/>
  <c r="V178" i="1"/>
  <c r="X178" i="1" s="1"/>
  <c r="U178" i="1"/>
  <c r="T178" i="1"/>
  <c r="R178" i="1"/>
  <c r="S178" i="1" s="1"/>
  <c r="V177" i="1"/>
  <c r="V189" i="1" s="1"/>
  <c r="U177" i="1"/>
  <c r="T177" i="1"/>
  <c r="T189" i="1" s="1"/>
  <c r="R177" i="1"/>
  <c r="R189" i="1" s="1"/>
  <c r="W170" i="1"/>
  <c r="T170" i="1"/>
  <c r="Q170" i="1"/>
  <c r="P170" i="1"/>
  <c r="O170" i="1"/>
  <c r="N170" i="1"/>
  <c r="M170" i="1"/>
  <c r="L170" i="1"/>
  <c r="K170" i="1"/>
  <c r="J170" i="1"/>
  <c r="I170" i="1"/>
  <c r="V169" i="1"/>
  <c r="U169" i="1"/>
  <c r="T169" i="1"/>
  <c r="R169" i="1"/>
  <c r="V168" i="1"/>
  <c r="X168" i="1" s="1"/>
  <c r="U168" i="1"/>
  <c r="T168" i="1"/>
  <c r="S168" i="1"/>
  <c r="R168" i="1"/>
  <c r="V167" i="1"/>
  <c r="X167" i="1" s="1"/>
  <c r="U167" i="1"/>
  <c r="T167" i="1"/>
  <c r="R167" i="1"/>
  <c r="S167" i="1" s="1"/>
  <c r="V166" i="1"/>
  <c r="X166" i="1" s="1"/>
  <c r="U166" i="1"/>
  <c r="T166" i="1"/>
  <c r="R166" i="1"/>
  <c r="S166" i="1" s="1"/>
  <c r="V165" i="1"/>
  <c r="X165" i="1" s="1"/>
  <c r="U165" i="1"/>
  <c r="T165" i="1"/>
  <c r="R165" i="1"/>
  <c r="S165" i="1" s="1"/>
  <c r="V164" i="1"/>
  <c r="X164" i="1" s="1"/>
  <c r="U164" i="1"/>
  <c r="T164" i="1"/>
  <c r="R164" i="1"/>
  <c r="S164" i="1" s="1"/>
  <c r="V163" i="1"/>
  <c r="X163" i="1" s="1"/>
  <c r="U163" i="1"/>
  <c r="T163" i="1"/>
  <c r="S163" i="1"/>
  <c r="R163" i="1"/>
  <c r="V162" i="1"/>
  <c r="X162" i="1" s="1"/>
  <c r="U162" i="1"/>
  <c r="T162" i="1"/>
  <c r="R162" i="1"/>
  <c r="S162" i="1" s="1"/>
  <c r="V161" i="1"/>
  <c r="X161" i="1" s="1"/>
  <c r="U161" i="1"/>
  <c r="T161" i="1"/>
  <c r="R161" i="1"/>
  <c r="S161" i="1" s="1"/>
  <c r="V160" i="1"/>
  <c r="X160" i="1" s="1"/>
  <c r="U160" i="1"/>
  <c r="T160" i="1"/>
  <c r="R160" i="1"/>
  <c r="S160" i="1" s="1"/>
  <c r="V159" i="1"/>
  <c r="X159" i="1" s="1"/>
  <c r="U159" i="1"/>
  <c r="T159" i="1"/>
  <c r="R159" i="1"/>
  <c r="S159" i="1" s="1"/>
  <c r="V158" i="1"/>
  <c r="X158" i="1" s="1"/>
  <c r="U158" i="1"/>
  <c r="T158" i="1"/>
  <c r="R158" i="1"/>
  <c r="S158" i="1" s="1"/>
  <c r="P151" i="1"/>
  <c r="O151" i="1"/>
  <c r="N151" i="1"/>
  <c r="M151" i="1"/>
  <c r="L151" i="1"/>
  <c r="T150" i="1"/>
  <c r="R150" i="1"/>
  <c r="S150" i="1" s="1"/>
  <c r="V150" i="1"/>
  <c r="X150" i="1" s="1"/>
  <c r="T149" i="1"/>
  <c r="R149" i="1"/>
  <c r="S149" i="1" s="1"/>
  <c r="U149" i="1"/>
  <c r="T148" i="1"/>
  <c r="R148" i="1"/>
  <c r="S148" i="1" s="1"/>
  <c r="K151" i="1"/>
  <c r="V148" i="1"/>
  <c r="X148" i="1" s="1"/>
  <c r="T147" i="1"/>
  <c r="R147" i="1"/>
  <c r="S147" i="1" s="1"/>
  <c r="V147" i="1"/>
  <c r="X147" i="1" s="1"/>
  <c r="T146" i="1"/>
  <c r="R146" i="1"/>
  <c r="S146" i="1" s="1"/>
  <c r="V146" i="1"/>
  <c r="X146" i="1" s="1"/>
  <c r="T145" i="1"/>
  <c r="R145" i="1"/>
  <c r="S145" i="1" s="1"/>
  <c r="V145" i="1"/>
  <c r="X145" i="1" s="1"/>
  <c r="T144" i="1"/>
  <c r="R144" i="1"/>
  <c r="S144" i="1" s="1"/>
  <c r="V144" i="1"/>
  <c r="X144" i="1" s="1"/>
  <c r="T143" i="1"/>
  <c r="R143" i="1"/>
  <c r="S143" i="1" s="1"/>
  <c r="V143" i="1"/>
  <c r="X143" i="1" s="1"/>
  <c r="T142" i="1"/>
  <c r="R142" i="1"/>
  <c r="S142" i="1" s="1"/>
  <c r="J151" i="1"/>
  <c r="V142" i="1"/>
  <c r="X142" i="1" s="1"/>
  <c r="U141" i="1"/>
  <c r="T141" i="1"/>
  <c r="R141" i="1"/>
  <c r="S141" i="1" s="1"/>
  <c r="V141" i="1"/>
  <c r="X141" i="1" s="1"/>
  <c r="T140" i="1"/>
  <c r="R140" i="1"/>
  <c r="S140" i="1" s="1"/>
  <c r="U140" i="1"/>
  <c r="W151" i="1"/>
  <c r="U139" i="1"/>
  <c r="T139" i="1"/>
  <c r="T151" i="1" s="1"/>
  <c r="R139" i="1"/>
  <c r="V13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W120" i="1"/>
  <c r="Q120" i="1"/>
  <c r="I120" i="1"/>
  <c r="W121" i="1"/>
  <c r="Q121" i="1"/>
  <c r="Q132" i="1" s="1"/>
  <c r="I121" i="1"/>
  <c r="W122" i="1"/>
  <c r="Q122" i="1"/>
  <c r="I122" i="1"/>
  <c r="W123" i="1"/>
  <c r="Q123" i="1"/>
  <c r="J123" i="1"/>
  <c r="I123" i="1"/>
  <c r="W124" i="1"/>
  <c r="Q124" i="1"/>
  <c r="J124" i="1"/>
  <c r="I124" i="1"/>
  <c r="W125" i="1"/>
  <c r="Q125" i="1"/>
  <c r="J125" i="1"/>
  <c r="I125" i="1"/>
  <c r="U125" i="1" s="1"/>
  <c r="W126" i="1"/>
  <c r="Q126" i="1"/>
  <c r="J126" i="1"/>
  <c r="I126" i="1"/>
  <c r="W127" i="1"/>
  <c r="Q127" i="1"/>
  <c r="J127" i="1"/>
  <c r="I127" i="1"/>
  <c r="V128" i="1"/>
  <c r="X128" i="1" s="1"/>
  <c r="U120" i="1"/>
  <c r="U121" i="1"/>
  <c r="U122" i="1"/>
  <c r="U123" i="1"/>
  <c r="U124" i="1"/>
  <c r="U126" i="1"/>
  <c r="U127" i="1"/>
  <c r="U128" i="1"/>
  <c r="W128" i="1"/>
  <c r="Q128" i="1"/>
  <c r="J128" i="1"/>
  <c r="I128" i="1"/>
  <c r="W129" i="1"/>
  <c r="Q129" i="1"/>
  <c r="K129" i="1"/>
  <c r="I129" i="1"/>
  <c r="W130" i="1"/>
  <c r="Q130" i="1"/>
  <c r="R130" i="1" s="1"/>
  <c r="I130" i="1"/>
  <c r="W131" i="1"/>
  <c r="Q131" i="1"/>
  <c r="I131" i="1"/>
  <c r="U131" i="1" s="1"/>
  <c r="S132" i="1"/>
  <c r="P132" i="1"/>
  <c r="M132" i="1"/>
  <c r="L132" i="1"/>
  <c r="K132" i="1"/>
  <c r="R131" i="1"/>
  <c r="T131" i="1"/>
  <c r="V131" i="1"/>
  <c r="X131" i="1" s="1"/>
  <c r="T130" i="1"/>
  <c r="V130" i="1"/>
  <c r="U130" i="1"/>
  <c r="R129" i="1"/>
  <c r="T129" i="1"/>
  <c r="V129" i="1"/>
  <c r="X129" i="1" s="1"/>
  <c r="U129" i="1"/>
  <c r="R128" i="1"/>
  <c r="T128" i="1"/>
  <c r="R127" i="1"/>
  <c r="T127" i="1"/>
  <c r="V127" i="1"/>
  <c r="X127" i="1" s="1"/>
  <c r="R126" i="1"/>
  <c r="T126" i="1"/>
  <c r="V126" i="1"/>
  <c r="X126" i="1" s="1"/>
  <c r="T125" i="1"/>
  <c r="R125" i="1"/>
  <c r="V125" i="1"/>
  <c r="X125" i="1" s="1"/>
  <c r="J132" i="1"/>
  <c r="R124" i="1"/>
  <c r="T124" i="1"/>
  <c r="V124" i="1"/>
  <c r="X124" i="1" s="1"/>
  <c r="R123" i="1"/>
  <c r="T123" i="1"/>
  <c r="V123" i="1"/>
  <c r="R122" i="1"/>
  <c r="T122" i="1"/>
  <c r="V122" i="1"/>
  <c r="X122" i="1" s="1"/>
  <c r="R121" i="1"/>
  <c r="T121" i="1"/>
  <c r="V121" i="1"/>
  <c r="X121" i="1" s="1"/>
  <c r="W132" i="1"/>
  <c r="R120" i="1"/>
  <c r="T120" i="1"/>
  <c r="T132" i="1" s="1"/>
  <c r="N132" i="1"/>
  <c r="I132" i="1"/>
  <c r="W106" i="1"/>
  <c r="W107" i="1"/>
  <c r="Q106" i="1"/>
  <c r="O106" i="1"/>
  <c r="N106" i="1"/>
  <c r="I106" i="1"/>
  <c r="W101" i="1"/>
  <c r="Q101" i="1"/>
  <c r="O101" i="1"/>
  <c r="N101" i="1"/>
  <c r="I101" i="1"/>
  <c r="W102" i="1"/>
  <c r="Q102" i="1"/>
  <c r="O102" i="1"/>
  <c r="N102" i="1"/>
  <c r="I102" i="1"/>
  <c r="U107" i="1"/>
  <c r="U106" i="1"/>
  <c r="W103" i="1"/>
  <c r="Q103" i="1"/>
  <c r="O103" i="1"/>
  <c r="N103" i="1"/>
  <c r="I103" i="1"/>
  <c r="W104" i="1"/>
  <c r="Q104" i="1"/>
  <c r="O104" i="1"/>
  <c r="N104" i="1"/>
  <c r="I104" i="1"/>
  <c r="W105" i="1"/>
  <c r="Q105" i="1"/>
  <c r="O105" i="1"/>
  <c r="N105" i="1"/>
  <c r="I105" i="1"/>
  <c r="J106" i="1"/>
  <c r="J107" i="1"/>
  <c r="Q107" i="1"/>
  <c r="O107" i="1"/>
  <c r="N107" i="1"/>
  <c r="V107" i="1" s="1"/>
  <c r="I107" i="1"/>
  <c r="W108" i="1"/>
  <c r="Q108" i="1"/>
  <c r="O108" i="1"/>
  <c r="N108" i="1"/>
  <c r="I108" i="1"/>
  <c r="W109" i="1"/>
  <c r="Q109" i="1"/>
  <c r="O109" i="1"/>
  <c r="N109" i="1"/>
  <c r="I109" i="1"/>
  <c r="W110" i="1"/>
  <c r="Q110" i="1"/>
  <c r="O110" i="1"/>
  <c r="N110" i="1"/>
  <c r="V110" i="1" s="1"/>
  <c r="I110" i="1"/>
  <c r="W111" i="1"/>
  <c r="Q111" i="1"/>
  <c r="O111" i="1"/>
  <c r="N111" i="1"/>
  <c r="I111" i="1"/>
  <c r="W112" i="1"/>
  <c r="Q112" i="1"/>
  <c r="O112" i="1"/>
  <c r="N112" i="1"/>
  <c r="I112" i="1"/>
  <c r="V112" i="1" s="1"/>
  <c r="V111" i="1"/>
  <c r="V109" i="1"/>
  <c r="V108" i="1"/>
  <c r="V106" i="1"/>
  <c r="V105" i="1"/>
  <c r="V104" i="1"/>
  <c r="V103" i="1"/>
  <c r="V102" i="1"/>
  <c r="V101" i="1"/>
  <c r="U112" i="1"/>
  <c r="U111" i="1"/>
  <c r="U110" i="1"/>
  <c r="U109" i="1"/>
  <c r="U108" i="1"/>
  <c r="U105" i="1"/>
  <c r="U104" i="1"/>
  <c r="U103" i="1"/>
  <c r="U102" i="1"/>
  <c r="U101" i="1"/>
  <c r="U87" i="1"/>
  <c r="U88" i="1"/>
  <c r="W82" i="1"/>
  <c r="Q82" i="1"/>
  <c r="V82" i="1" s="1"/>
  <c r="O82" i="1"/>
  <c r="N82" i="1"/>
  <c r="I82" i="1"/>
  <c r="W83" i="1"/>
  <c r="Q83" i="1"/>
  <c r="O83" i="1"/>
  <c r="N83" i="1"/>
  <c r="I83" i="1"/>
  <c r="W84" i="1"/>
  <c r="Q84" i="1"/>
  <c r="O84" i="1"/>
  <c r="N84" i="1"/>
  <c r="I84" i="1"/>
  <c r="W85" i="1"/>
  <c r="Q85" i="1"/>
  <c r="O85" i="1"/>
  <c r="V85" i="1" s="1"/>
  <c r="N85" i="1"/>
  <c r="I85" i="1"/>
  <c r="W86" i="1"/>
  <c r="Q86" i="1"/>
  <c r="O86" i="1"/>
  <c r="N86" i="1"/>
  <c r="I86" i="1"/>
  <c r="W87" i="1"/>
  <c r="Q87" i="1"/>
  <c r="O87" i="1"/>
  <c r="N87" i="1"/>
  <c r="J87" i="1"/>
  <c r="I87" i="1"/>
  <c r="W88" i="1"/>
  <c r="Q88" i="1"/>
  <c r="O88" i="1"/>
  <c r="N88" i="1"/>
  <c r="J88" i="1"/>
  <c r="I88" i="1"/>
  <c r="W89" i="1"/>
  <c r="Q89" i="1"/>
  <c r="O89" i="1"/>
  <c r="N89" i="1"/>
  <c r="I89" i="1"/>
  <c r="W90" i="1"/>
  <c r="Q90" i="1"/>
  <c r="O90" i="1"/>
  <c r="N90" i="1"/>
  <c r="I90" i="1"/>
  <c r="W91" i="1"/>
  <c r="Q91" i="1"/>
  <c r="O91" i="1"/>
  <c r="N91" i="1"/>
  <c r="V91" i="1" s="1"/>
  <c r="I91" i="1"/>
  <c r="W92" i="1"/>
  <c r="Q92" i="1"/>
  <c r="O92" i="1"/>
  <c r="N92" i="1"/>
  <c r="I92" i="1"/>
  <c r="V93" i="1"/>
  <c r="V92" i="1"/>
  <c r="V90" i="1"/>
  <c r="V89" i="1"/>
  <c r="V88" i="1"/>
  <c r="V87" i="1"/>
  <c r="V86" i="1"/>
  <c r="V84" i="1"/>
  <c r="V83" i="1"/>
  <c r="W93" i="1"/>
  <c r="Q93" i="1"/>
  <c r="P93" i="1"/>
  <c r="O93" i="1"/>
  <c r="N93" i="1"/>
  <c r="I93" i="1"/>
  <c r="U93" i="1" s="1"/>
  <c r="U92" i="1"/>
  <c r="U91" i="1"/>
  <c r="U90" i="1"/>
  <c r="U89" i="1"/>
  <c r="U86" i="1"/>
  <c r="U85" i="1"/>
  <c r="U84" i="1"/>
  <c r="U83" i="1"/>
  <c r="U82" i="1"/>
  <c r="U72" i="1"/>
  <c r="U73" i="1"/>
  <c r="U71" i="1"/>
  <c r="U70" i="1"/>
  <c r="U69" i="1"/>
  <c r="U68" i="1"/>
  <c r="U67" i="1"/>
  <c r="U66" i="1"/>
  <c r="U65" i="1"/>
  <c r="U64" i="1"/>
  <c r="U63" i="1"/>
  <c r="U74" i="1"/>
  <c r="Q63" i="1"/>
  <c r="W63" i="1"/>
  <c r="O63" i="1"/>
  <c r="N63" i="1"/>
  <c r="I63" i="1"/>
  <c r="W64" i="1"/>
  <c r="Q64" i="1"/>
  <c r="O64" i="1"/>
  <c r="N64" i="1"/>
  <c r="I64" i="1"/>
  <c r="W65" i="1"/>
  <c r="Q65" i="1"/>
  <c r="O65" i="1"/>
  <c r="N65" i="1"/>
  <c r="I65" i="1"/>
  <c r="W66" i="1"/>
  <c r="Q66" i="1"/>
  <c r="O66" i="1"/>
  <c r="N66" i="1"/>
  <c r="I66" i="1"/>
  <c r="W67" i="1"/>
  <c r="Q67" i="1"/>
  <c r="O67" i="1"/>
  <c r="N67" i="1"/>
  <c r="I67" i="1"/>
  <c r="W68" i="1"/>
  <c r="Q68" i="1"/>
  <c r="O68" i="1"/>
  <c r="N68" i="1"/>
  <c r="I68" i="1"/>
  <c r="W69" i="1"/>
  <c r="Q69" i="1"/>
  <c r="O69" i="1"/>
  <c r="N69" i="1"/>
  <c r="I69" i="1"/>
  <c r="V63" i="1"/>
  <c r="V64" i="1"/>
  <c r="V65" i="1"/>
  <c r="V66" i="1"/>
  <c r="V67" i="1"/>
  <c r="V68" i="1"/>
  <c r="V69" i="1"/>
  <c r="V70" i="1"/>
  <c r="V74" i="1"/>
  <c r="V73" i="1"/>
  <c r="V72" i="1"/>
  <c r="V71" i="1"/>
  <c r="W70" i="1"/>
  <c r="Q70" i="1"/>
  <c r="O70" i="1"/>
  <c r="N70" i="1"/>
  <c r="I70" i="1"/>
  <c r="W71" i="1"/>
  <c r="Q71" i="1"/>
  <c r="O71" i="1"/>
  <c r="N71" i="1"/>
  <c r="I71" i="1"/>
  <c r="W72" i="1"/>
  <c r="Q72" i="1"/>
  <c r="O72" i="1"/>
  <c r="N72" i="1"/>
  <c r="I72" i="1"/>
  <c r="W73" i="1"/>
  <c r="Q73" i="1"/>
  <c r="O73" i="1"/>
  <c r="N73" i="1"/>
  <c r="I73" i="1"/>
  <c r="W74" i="1"/>
  <c r="Q74" i="1"/>
  <c r="O74" i="1"/>
  <c r="N74" i="1"/>
  <c r="I74" i="1"/>
  <c r="V36" i="4" l="1"/>
  <c r="O151" i="4"/>
  <c r="S131" i="4"/>
  <c r="O189" i="4"/>
  <c r="S169" i="4"/>
  <c r="S150" i="4"/>
  <c r="S112" i="4"/>
  <c r="O94" i="4"/>
  <c r="S55" i="4"/>
  <c r="U169" i="4"/>
  <c r="O170" i="4"/>
  <c r="U150" i="4"/>
  <c r="W142" i="4"/>
  <c r="U131" i="4"/>
  <c r="W119" i="4"/>
  <c r="N36" i="4"/>
  <c r="U74" i="4"/>
  <c r="W62" i="4"/>
  <c r="Q55" i="4"/>
  <c r="P55" i="4"/>
  <c r="O56" i="4" s="1"/>
  <c r="D31" i="4" s="1"/>
  <c r="U112" i="4"/>
  <c r="W100" i="4"/>
  <c r="U188" i="4"/>
  <c r="U93" i="4"/>
  <c r="W81" i="4"/>
  <c r="S36" i="4"/>
  <c r="U55" i="4"/>
  <c r="W43" i="4"/>
  <c r="X24" i="4"/>
  <c r="U189" i="1"/>
  <c r="U170" i="1"/>
  <c r="R170" i="1"/>
  <c r="Q171" i="1" s="1"/>
  <c r="V170" i="1"/>
  <c r="S169" i="1"/>
  <c r="S170" i="1" s="1"/>
  <c r="X169" i="1"/>
  <c r="Q190" i="1"/>
  <c r="S177" i="1"/>
  <c r="S189" i="1" s="1"/>
  <c r="X177" i="1"/>
  <c r="R151" i="1"/>
  <c r="S139" i="1"/>
  <c r="S151" i="1" s="1"/>
  <c r="X139" i="1"/>
  <c r="V140" i="1"/>
  <c r="X140" i="1" s="1"/>
  <c r="U142" i="1"/>
  <c r="U143" i="1"/>
  <c r="U144" i="1"/>
  <c r="U145" i="1"/>
  <c r="U146" i="1"/>
  <c r="U147" i="1"/>
  <c r="U148" i="1"/>
  <c r="V149" i="1"/>
  <c r="X149" i="1" s="1"/>
  <c r="U150" i="1"/>
  <c r="I151" i="1"/>
  <c r="Q151" i="1"/>
  <c r="Q152" i="1" s="1"/>
  <c r="X123" i="1"/>
  <c r="X130" i="1"/>
  <c r="R132" i="1"/>
  <c r="Q133" i="1" s="1"/>
  <c r="O132" i="1"/>
  <c r="V120" i="1"/>
  <c r="U44" i="1"/>
  <c r="O44" i="1"/>
  <c r="N44" i="1"/>
  <c r="I44" i="1"/>
  <c r="U45" i="1"/>
  <c r="O45" i="1"/>
  <c r="N45" i="1"/>
  <c r="I45" i="1"/>
  <c r="U46" i="1"/>
  <c r="O46" i="1"/>
  <c r="N46" i="1"/>
  <c r="J46" i="1"/>
  <c r="I46" i="1"/>
  <c r="U47" i="1"/>
  <c r="O47" i="1"/>
  <c r="N47" i="1"/>
  <c r="I47" i="1"/>
  <c r="U48" i="1"/>
  <c r="O48" i="1"/>
  <c r="N48" i="1"/>
  <c r="I48" i="1"/>
  <c r="U49" i="1"/>
  <c r="O49" i="1"/>
  <c r="N49" i="1"/>
  <c r="I49" i="1"/>
  <c r="Q50" i="1"/>
  <c r="U50" i="1"/>
  <c r="O50" i="1"/>
  <c r="N50" i="1"/>
  <c r="I50" i="1"/>
  <c r="O51" i="1"/>
  <c r="N51" i="1"/>
  <c r="U51" i="1"/>
  <c r="I51" i="1"/>
  <c r="U52" i="1"/>
  <c r="O52" i="1"/>
  <c r="N52" i="1"/>
  <c r="I52" i="1"/>
  <c r="U53" i="1"/>
  <c r="O53" i="1"/>
  <c r="N53" i="1"/>
  <c r="I53" i="1"/>
  <c r="U54" i="1"/>
  <c r="O54" i="1"/>
  <c r="N54" i="1"/>
  <c r="I54" i="1"/>
  <c r="U55" i="1"/>
  <c r="O55" i="1"/>
  <c r="N55" i="1"/>
  <c r="J55" i="1"/>
  <c r="I55" i="1"/>
  <c r="X36" i="4" l="1"/>
  <c r="Z24" i="4"/>
  <c r="U151" i="1"/>
  <c r="V151" i="1"/>
  <c r="V132" i="1"/>
  <c r="X120" i="1"/>
  <c r="U132" i="1"/>
  <c r="W113" i="1"/>
  <c r="S113" i="1"/>
  <c r="Q113" i="1"/>
  <c r="P113" i="1"/>
  <c r="O113" i="1"/>
  <c r="N113" i="1"/>
  <c r="M113" i="1"/>
  <c r="L113" i="1"/>
  <c r="K113" i="1"/>
  <c r="J113" i="1"/>
  <c r="I113" i="1"/>
  <c r="X112" i="1"/>
  <c r="T112" i="1"/>
  <c r="R112" i="1"/>
  <c r="X111" i="1"/>
  <c r="T111" i="1"/>
  <c r="R111" i="1"/>
  <c r="X110" i="1"/>
  <c r="T110" i="1"/>
  <c r="R110" i="1"/>
  <c r="X109" i="1"/>
  <c r="T109" i="1"/>
  <c r="R109" i="1"/>
  <c r="X108" i="1"/>
  <c r="T108" i="1"/>
  <c r="R108" i="1"/>
  <c r="X107" i="1"/>
  <c r="T107" i="1"/>
  <c r="R107" i="1"/>
  <c r="X106" i="1"/>
  <c r="T106" i="1"/>
  <c r="R106" i="1"/>
  <c r="X105" i="1"/>
  <c r="T105" i="1"/>
  <c r="R105" i="1"/>
  <c r="X104" i="1"/>
  <c r="T104" i="1"/>
  <c r="R104" i="1"/>
  <c r="X103" i="1"/>
  <c r="T103" i="1"/>
  <c r="R103" i="1"/>
  <c r="X102" i="1"/>
  <c r="T102" i="1"/>
  <c r="R102" i="1"/>
  <c r="V113" i="1"/>
  <c r="U113" i="1"/>
  <c r="T101" i="1"/>
  <c r="R101" i="1"/>
  <c r="W94" i="1"/>
  <c r="S94" i="1"/>
  <c r="Q94" i="1"/>
  <c r="P94" i="1"/>
  <c r="O94" i="1"/>
  <c r="N94" i="1"/>
  <c r="M94" i="1"/>
  <c r="L94" i="1"/>
  <c r="K94" i="1"/>
  <c r="J94" i="1"/>
  <c r="I94" i="1"/>
  <c r="X93" i="1"/>
  <c r="T93" i="1"/>
  <c r="R93" i="1"/>
  <c r="X92" i="1"/>
  <c r="T92" i="1"/>
  <c r="R92" i="1"/>
  <c r="X91" i="1"/>
  <c r="T91" i="1"/>
  <c r="R91" i="1"/>
  <c r="X90" i="1"/>
  <c r="T90" i="1"/>
  <c r="R90" i="1"/>
  <c r="X89" i="1"/>
  <c r="T89" i="1"/>
  <c r="R89" i="1"/>
  <c r="X88" i="1"/>
  <c r="T88" i="1"/>
  <c r="R88" i="1"/>
  <c r="X87" i="1"/>
  <c r="T87" i="1"/>
  <c r="R87" i="1"/>
  <c r="X86" i="1"/>
  <c r="T86" i="1"/>
  <c r="R86" i="1"/>
  <c r="X85" i="1"/>
  <c r="T85" i="1"/>
  <c r="R85" i="1"/>
  <c r="X84" i="1"/>
  <c r="T84" i="1"/>
  <c r="R84" i="1"/>
  <c r="X83" i="1"/>
  <c r="T83" i="1"/>
  <c r="R83" i="1"/>
  <c r="V94" i="1"/>
  <c r="U94" i="1"/>
  <c r="T82" i="1"/>
  <c r="R82" i="1"/>
  <c r="N75" i="1"/>
  <c r="L75" i="1"/>
  <c r="K75" i="1"/>
  <c r="R74" i="1"/>
  <c r="T74" i="1"/>
  <c r="R73" i="1"/>
  <c r="T73" i="1"/>
  <c r="R72" i="1"/>
  <c r="T72" i="1"/>
  <c r="R71" i="1"/>
  <c r="T71" i="1"/>
  <c r="R70" i="1"/>
  <c r="T70" i="1"/>
  <c r="R69" i="1"/>
  <c r="T69" i="1"/>
  <c r="R68" i="1"/>
  <c r="T68" i="1"/>
  <c r="R67" i="1"/>
  <c r="T67" i="1"/>
  <c r="R66" i="1"/>
  <c r="T66" i="1"/>
  <c r="R65" i="1"/>
  <c r="T65" i="1"/>
  <c r="J75" i="1"/>
  <c r="R64" i="1"/>
  <c r="T64" i="1"/>
  <c r="R63" i="1"/>
  <c r="P75" i="1"/>
  <c r="M75" i="1"/>
  <c r="I75" i="1"/>
  <c r="T15" i="1"/>
  <c r="T7" i="1"/>
  <c r="T8" i="1"/>
  <c r="T9" i="1"/>
  <c r="T10" i="1"/>
  <c r="T11" i="1"/>
  <c r="T12" i="1"/>
  <c r="T13" i="1"/>
  <c r="T14" i="1"/>
  <c r="T16" i="1"/>
  <c r="T17" i="1"/>
  <c r="T6" i="1"/>
  <c r="S45" i="1"/>
  <c r="S46" i="1"/>
  <c r="S47" i="1"/>
  <c r="S48" i="1"/>
  <c r="S49" i="1"/>
  <c r="S50" i="1"/>
  <c r="S51" i="1"/>
  <c r="S52" i="1"/>
  <c r="S53" i="1"/>
  <c r="S54" i="1"/>
  <c r="S55" i="1"/>
  <c r="S44" i="1"/>
  <c r="L56" i="1"/>
  <c r="P55" i="1"/>
  <c r="R55" i="1"/>
  <c r="P54" i="1"/>
  <c r="R54" i="1"/>
  <c r="P53" i="1"/>
  <c r="R53" i="1"/>
  <c r="T53" i="1"/>
  <c r="V53" i="1" s="1"/>
  <c r="P52" i="1"/>
  <c r="R52" i="1"/>
  <c r="P51" i="1"/>
  <c r="R51" i="1"/>
  <c r="P50" i="1"/>
  <c r="R50" i="1"/>
  <c r="P49" i="1"/>
  <c r="Q49" i="1" s="1"/>
  <c r="R49" i="1"/>
  <c r="P48" i="1"/>
  <c r="Q48" i="1" s="1"/>
  <c r="R48" i="1"/>
  <c r="P47" i="1"/>
  <c r="Q47" i="1" s="1"/>
  <c r="R47" i="1"/>
  <c r="P46" i="1"/>
  <c r="Q46" i="1" s="1"/>
  <c r="R46" i="1"/>
  <c r="J56" i="1"/>
  <c r="T46" i="1"/>
  <c r="V46" i="1" s="1"/>
  <c r="P45" i="1"/>
  <c r="Q45" i="1" s="1"/>
  <c r="R45" i="1"/>
  <c r="U56" i="1"/>
  <c r="P44" i="1"/>
  <c r="Q44" i="1" s="1"/>
  <c r="N56" i="1"/>
  <c r="M56" i="1"/>
  <c r="Z25" i="1"/>
  <c r="R25" i="1"/>
  <c r="Q25" i="1"/>
  <c r="O25" i="1"/>
  <c r="M25" i="1"/>
  <c r="I25" i="1"/>
  <c r="Z26" i="1"/>
  <c r="R26" i="1"/>
  <c r="Q26" i="1"/>
  <c r="O26" i="1"/>
  <c r="M26" i="1"/>
  <c r="X26" i="1" s="1"/>
  <c r="I26" i="1"/>
  <c r="P27" i="1"/>
  <c r="M27" i="1"/>
  <c r="U27" i="1" s="1"/>
  <c r="O27" i="1"/>
  <c r="Z27" i="1"/>
  <c r="I27" i="1"/>
  <c r="R27" i="1"/>
  <c r="Q27" i="1"/>
  <c r="J27" i="1"/>
  <c r="M28" i="1"/>
  <c r="Z28" i="1"/>
  <c r="R28" i="1"/>
  <c r="Q28" i="1"/>
  <c r="O28" i="1"/>
  <c r="J28" i="1"/>
  <c r="I28" i="1"/>
  <c r="Z29" i="1"/>
  <c r="R29" i="1"/>
  <c r="Q29" i="1"/>
  <c r="O29" i="1"/>
  <c r="M29" i="1"/>
  <c r="J29" i="1"/>
  <c r="I29" i="1"/>
  <c r="Z30" i="1"/>
  <c r="R30" i="1"/>
  <c r="Q30" i="1"/>
  <c r="O30" i="1"/>
  <c r="M30" i="1"/>
  <c r="J30" i="1"/>
  <c r="I30" i="1"/>
  <c r="Z32" i="1"/>
  <c r="Z31" i="1"/>
  <c r="R31" i="1"/>
  <c r="Q31" i="1"/>
  <c r="O31" i="1"/>
  <c r="M31" i="1"/>
  <c r="J31" i="1"/>
  <c r="I31" i="1"/>
  <c r="R32" i="1"/>
  <c r="Q32" i="1"/>
  <c r="O32" i="1"/>
  <c r="M32" i="1"/>
  <c r="J32" i="1"/>
  <c r="I32" i="1"/>
  <c r="Z33" i="1"/>
  <c r="R33" i="1"/>
  <c r="Q33" i="1"/>
  <c r="O33" i="1"/>
  <c r="M33" i="1"/>
  <c r="J33" i="1"/>
  <c r="I33" i="1"/>
  <c r="Z34" i="1"/>
  <c r="R34" i="1"/>
  <c r="Q34" i="1"/>
  <c r="O34" i="1"/>
  <c r="M34" i="1"/>
  <c r="J34" i="1"/>
  <c r="K37" i="1"/>
  <c r="I34" i="1"/>
  <c r="T113" i="1" l="1"/>
  <c r="R113" i="1"/>
  <c r="Q114" i="1" s="1"/>
  <c r="T94" i="1"/>
  <c r="R94" i="1"/>
  <c r="Q95" i="1" s="1"/>
  <c r="S75" i="1"/>
  <c r="Q56" i="1"/>
  <c r="X101" i="1"/>
  <c r="X82" i="1"/>
  <c r="X29" i="1"/>
  <c r="P56" i="1"/>
  <c r="O75" i="1"/>
  <c r="Q75" i="1"/>
  <c r="W75" i="1"/>
  <c r="R75" i="1"/>
  <c r="X65" i="1"/>
  <c r="X72" i="1"/>
  <c r="X73" i="1"/>
  <c r="T63" i="1"/>
  <c r="T75" i="1" s="1"/>
  <c r="X64" i="1"/>
  <c r="X66" i="1"/>
  <c r="X67" i="1"/>
  <c r="X68" i="1"/>
  <c r="X69" i="1"/>
  <c r="X70" i="1"/>
  <c r="X71" i="1"/>
  <c r="X74" i="1"/>
  <c r="X32" i="1"/>
  <c r="J37" i="1"/>
  <c r="X34" i="1"/>
  <c r="X30" i="1"/>
  <c r="X33" i="1"/>
  <c r="X27" i="1"/>
  <c r="X28" i="1"/>
  <c r="X25" i="1"/>
  <c r="I56" i="1"/>
  <c r="O56" i="1"/>
  <c r="R44" i="1"/>
  <c r="R56" i="1" s="1"/>
  <c r="T45" i="1"/>
  <c r="V45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55" i="1"/>
  <c r="V55" i="1" s="1"/>
  <c r="T54" i="1"/>
  <c r="V54" i="1" s="1"/>
  <c r="X31" i="1"/>
  <c r="P34" i="1"/>
  <c r="Z35" i="1"/>
  <c r="R35" i="1"/>
  <c r="Q35" i="1"/>
  <c r="O35" i="1"/>
  <c r="V35" i="1" s="1"/>
  <c r="M35" i="1"/>
  <c r="P35" i="1" s="1"/>
  <c r="I35" i="1"/>
  <c r="M36" i="1"/>
  <c r="U36" i="1" s="1"/>
  <c r="Z36" i="1"/>
  <c r="R36" i="1"/>
  <c r="V26" i="1"/>
  <c r="V27" i="1"/>
  <c r="V28" i="1"/>
  <c r="V29" i="1"/>
  <c r="V30" i="1"/>
  <c r="V31" i="1"/>
  <c r="V32" i="1"/>
  <c r="V33" i="1"/>
  <c r="V34" i="1"/>
  <c r="V25" i="1"/>
  <c r="Q36" i="1"/>
  <c r="O36" i="1"/>
  <c r="V36" i="1" s="1"/>
  <c r="U26" i="1"/>
  <c r="U28" i="1"/>
  <c r="U29" i="1"/>
  <c r="U30" i="1"/>
  <c r="U31" i="1"/>
  <c r="U32" i="1"/>
  <c r="U33" i="1"/>
  <c r="U34" i="1"/>
  <c r="U25" i="1"/>
  <c r="P26" i="1"/>
  <c r="Y26" i="1" s="1"/>
  <c r="AA26" i="1" s="1"/>
  <c r="P28" i="1"/>
  <c r="Y28" i="1" s="1"/>
  <c r="AA28" i="1" s="1"/>
  <c r="P29" i="1"/>
  <c r="P30" i="1"/>
  <c r="Y30" i="1" s="1"/>
  <c r="AA30" i="1" s="1"/>
  <c r="P31" i="1"/>
  <c r="Y31" i="1" s="1"/>
  <c r="AA31" i="1" s="1"/>
  <c r="P32" i="1"/>
  <c r="Y32" i="1" s="1"/>
  <c r="AA32" i="1" s="1"/>
  <c r="P33" i="1"/>
  <c r="Y34" i="1"/>
  <c r="AA34" i="1" s="1"/>
  <c r="P36" i="1"/>
  <c r="P25" i="1"/>
  <c r="M37" i="1"/>
  <c r="I36" i="1"/>
  <c r="X36" i="1" s="1"/>
  <c r="S26" i="1"/>
  <c r="S27" i="1"/>
  <c r="S28" i="1"/>
  <c r="S29" i="1"/>
  <c r="S30" i="1"/>
  <c r="S31" i="1"/>
  <c r="S32" i="1"/>
  <c r="S33" i="1"/>
  <c r="S34" i="1"/>
  <c r="S35" i="1"/>
  <c r="S36" i="1"/>
  <c r="S25" i="1"/>
  <c r="W37" i="1"/>
  <c r="T37" i="1"/>
  <c r="R37" i="1"/>
  <c r="N37" i="1"/>
  <c r="L37" i="1"/>
  <c r="I37" i="1"/>
  <c r="Y33" i="1"/>
  <c r="AA33" i="1" s="1"/>
  <c r="Y29" i="1"/>
  <c r="AA29" i="1" s="1"/>
  <c r="Y27" i="1"/>
  <c r="AA27" i="1" s="1"/>
  <c r="Y25" i="1"/>
  <c r="U7" i="1"/>
  <c r="U8" i="1"/>
  <c r="U9" i="1"/>
  <c r="U10" i="1"/>
  <c r="U11" i="1"/>
  <c r="U12" i="1"/>
  <c r="U13" i="1"/>
  <c r="U14" i="1"/>
  <c r="U15" i="1"/>
  <c r="U16" i="1"/>
  <c r="U17" i="1"/>
  <c r="U6" i="1"/>
  <c r="S18" i="1"/>
  <c r="Q76" i="1" l="1"/>
  <c r="O57" i="1"/>
  <c r="V75" i="1"/>
  <c r="X63" i="1"/>
  <c r="U75" i="1"/>
  <c r="Y35" i="1"/>
  <c r="Y36" i="1"/>
  <c r="Q37" i="1"/>
  <c r="X35" i="1"/>
  <c r="O37" i="1"/>
  <c r="U35" i="1"/>
  <c r="Z37" i="1"/>
  <c r="P37" i="1"/>
  <c r="T44" i="1"/>
  <c r="S56" i="1"/>
  <c r="V37" i="1"/>
  <c r="U37" i="1"/>
  <c r="AA35" i="1"/>
  <c r="AA36" i="1"/>
  <c r="S37" i="1"/>
  <c r="R38" i="1" s="1"/>
  <c r="X37" i="1"/>
  <c r="Y37" i="1"/>
  <c r="AA25" i="1"/>
  <c r="U18" i="1"/>
  <c r="M18" i="1"/>
  <c r="P18" i="1"/>
  <c r="N1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L18" i="1"/>
  <c r="K18" i="1"/>
  <c r="R18" i="1"/>
  <c r="Q18" i="1"/>
  <c r="O18" i="1"/>
  <c r="O19" i="1" s="1"/>
  <c r="J18" i="1"/>
  <c r="I18" i="1"/>
  <c r="T56" i="1" l="1"/>
  <c r="V44" i="1"/>
  <c r="T18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5" i="1"/>
  <c r="E4" i="1"/>
  <c r="F26" i="1" l="1"/>
  <c r="F24" i="1"/>
  <c r="F22" i="1"/>
  <c r="F20" i="1"/>
  <c r="F18" i="1"/>
  <c r="F16" i="1"/>
  <c r="F14" i="1"/>
  <c r="F12" i="1"/>
  <c r="F10" i="1"/>
  <c r="F8" i="1"/>
  <c r="F6" i="1"/>
  <c r="F4" i="1"/>
</calcChain>
</file>

<file path=xl/sharedStrings.xml><?xml version="1.0" encoding="utf-8"?>
<sst xmlns="http://schemas.openxmlformats.org/spreadsheetml/2006/main" count="778" uniqueCount="65">
  <si>
    <t>APRIL</t>
  </si>
  <si>
    <t>MAY</t>
  </si>
  <si>
    <t>JUNE</t>
  </si>
  <si>
    <t>JULY</t>
  </si>
  <si>
    <t>SEPT</t>
  </si>
  <si>
    <t>NOV</t>
  </si>
  <si>
    <t>AUG</t>
  </si>
  <si>
    <t>MAR</t>
  </si>
  <si>
    <t>OCT</t>
  </si>
  <si>
    <t>DEC</t>
  </si>
  <si>
    <t>JAN</t>
  </si>
  <si>
    <t>FEB</t>
  </si>
  <si>
    <t>PAYE</t>
  </si>
  <si>
    <t>UIF</t>
  </si>
  <si>
    <t>WAGES</t>
  </si>
  <si>
    <t>SALARIES</t>
  </si>
  <si>
    <t>TOTAL</t>
  </si>
  <si>
    <t>EMP501 2013</t>
  </si>
  <si>
    <t>BASIC</t>
  </si>
  <si>
    <t>PENSION</t>
  </si>
  <si>
    <t>MEDICAL</t>
  </si>
  <si>
    <t>Nicole Geldenhuys</t>
  </si>
  <si>
    <t>DATE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</si>
  <si>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</si>
  <si>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</si>
  <si>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</si>
  <si>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</si>
  <si>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</si>
  <si>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</si>
  <si>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</si>
  <si>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</si>
  <si>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</si>
  <si>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</si>
  <si>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</si>
  <si>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</si>
  <si>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BONUS</t>
  </si>
  <si>
    <t>EARNINGS</t>
  </si>
  <si>
    <t>FRINGE BENEFITS</t>
  </si>
  <si>
    <t>DEDUCTIONS</t>
  </si>
  <si>
    <t>TAXABLE EARNINGS</t>
  </si>
  <si>
    <t>SDL</t>
  </si>
  <si>
    <t>COMPANY CONTRIBUTIONS</t>
  </si>
  <si>
    <t>PAYOUT 1</t>
  </si>
  <si>
    <t>PAYOUT 2</t>
  </si>
  <si>
    <t>DIFFERENCE</t>
  </si>
  <si>
    <t>NON-TAX TR</t>
  </si>
  <si>
    <t>MEDICAL TAX CREDIT</t>
  </si>
  <si>
    <t>4474 (DED)</t>
  </si>
  <si>
    <t>LEAVE</t>
  </si>
  <si>
    <t>O/TIME</t>
  </si>
  <si>
    <t>LOAN</t>
  </si>
  <si>
    <r>
      <rPr>
        <b/>
        <sz val="12"/>
        <color rgb="FFFF0000"/>
        <rFont val="Calibri"/>
        <family val="2"/>
        <scheme val="minor"/>
      </rPr>
      <t xml:space="preserve">P002 -  </t>
    </r>
    <r>
      <rPr>
        <b/>
        <i/>
        <u/>
        <sz val="12"/>
        <color theme="1"/>
        <rFont val="Calibri"/>
        <family val="2"/>
        <scheme val="minor"/>
      </rPr>
      <t>Andrew Ballard</t>
    </r>
  </si>
  <si>
    <r>
      <rPr>
        <b/>
        <sz val="12"/>
        <color rgb="FFFF0000"/>
        <rFont val="Calibri"/>
        <family val="2"/>
        <scheme val="minor"/>
      </rPr>
      <t xml:space="preserve">P001 -  </t>
    </r>
    <r>
      <rPr>
        <b/>
        <i/>
        <u/>
        <sz val="12"/>
        <color theme="1"/>
        <rFont val="Calibri"/>
        <family val="2"/>
        <scheme val="minor"/>
      </rPr>
      <t>Henry Steynberg</t>
    </r>
  </si>
  <si>
    <r>
      <rPr>
        <b/>
        <sz val="12"/>
        <color rgb="FFFF0000"/>
        <rFont val="Calibri"/>
        <family val="2"/>
        <scheme val="minor"/>
      </rPr>
      <t xml:space="preserve">P003 -  </t>
    </r>
    <r>
      <rPr>
        <b/>
        <i/>
        <u/>
        <sz val="12"/>
        <rFont val="Calibri"/>
        <family val="2"/>
        <scheme val="minor"/>
      </rPr>
      <t>Theodora Ntulo</t>
    </r>
  </si>
  <si>
    <r>
      <rPr>
        <b/>
        <sz val="12"/>
        <color rgb="FFFF0000"/>
        <rFont val="Calibri"/>
        <family val="2"/>
        <scheme val="minor"/>
      </rPr>
      <t xml:space="preserve">P004 -  </t>
    </r>
    <r>
      <rPr>
        <b/>
        <i/>
        <u/>
        <sz val="12"/>
        <rFont val="Calibri"/>
        <family val="2"/>
        <scheme val="minor"/>
      </rPr>
      <t>Joseph Malale</t>
    </r>
  </si>
  <si>
    <r>
      <rPr>
        <b/>
        <sz val="12"/>
        <color rgb="FFFF0000"/>
        <rFont val="Calibri"/>
        <family val="2"/>
        <scheme val="minor"/>
      </rPr>
      <t xml:space="preserve">P005 -  </t>
    </r>
    <r>
      <rPr>
        <b/>
        <i/>
        <u/>
        <sz val="12"/>
        <rFont val="Calibri"/>
        <family val="2"/>
        <scheme val="minor"/>
      </rPr>
      <t>Madala Mnisi</t>
    </r>
  </si>
  <si>
    <t>`</t>
  </si>
  <si>
    <r>
      <rPr>
        <b/>
        <sz val="12"/>
        <color rgb="FFFF0000"/>
        <rFont val="Calibri"/>
        <family val="2"/>
        <scheme val="minor"/>
      </rPr>
      <t xml:space="preserve">P006 -  </t>
    </r>
    <r>
      <rPr>
        <b/>
        <i/>
        <u/>
        <sz val="12"/>
        <rFont val="Calibri"/>
        <family val="2"/>
        <scheme val="minor"/>
      </rPr>
      <t>Barend Fulton</t>
    </r>
  </si>
  <si>
    <r>
      <rPr>
        <b/>
        <sz val="12"/>
        <color rgb="FFFF0000"/>
        <rFont val="Calibri"/>
        <family val="2"/>
        <scheme val="minor"/>
      </rPr>
      <t xml:space="preserve">P007 -  </t>
    </r>
    <r>
      <rPr>
        <b/>
        <i/>
        <u/>
        <sz val="12"/>
        <rFont val="Calibri"/>
        <family val="2"/>
        <scheme val="minor"/>
      </rPr>
      <t>Francois van der Bank</t>
    </r>
  </si>
  <si>
    <r>
      <rPr>
        <b/>
        <sz val="12"/>
        <color rgb="FFFF0000"/>
        <rFont val="Calibri"/>
        <family val="2"/>
        <scheme val="minor"/>
      </rPr>
      <t xml:space="preserve">P008 -  </t>
    </r>
    <r>
      <rPr>
        <b/>
        <i/>
        <u/>
        <sz val="12"/>
        <rFont val="Calibri"/>
        <family val="2"/>
        <scheme val="minor"/>
      </rPr>
      <t>Derrick Venter</t>
    </r>
  </si>
  <si>
    <r>
      <rPr>
        <b/>
        <sz val="12"/>
        <color rgb="FFFF0000"/>
        <rFont val="Calibri"/>
        <family val="2"/>
        <scheme val="minor"/>
      </rPr>
      <t xml:space="preserve">P009 -  </t>
    </r>
    <r>
      <rPr>
        <b/>
        <i/>
        <u/>
        <sz val="12"/>
        <rFont val="Calibri"/>
        <family val="2"/>
        <scheme val="minor"/>
      </rPr>
      <t>James Smith</t>
    </r>
  </si>
  <si>
    <t>TOTALS</t>
  </si>
  <si>
    <t>EMP501 2014</t>
  </si>
  <si>
    <t>ü</t>
  </si>
  <si>
    <t>Friom 09/09/2013 - 08/01/2014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</si>
</sst>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i/>
      <u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FF0000"/>
      <name val="Wingdings"/>
      <charset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7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6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0" fillId="0" borderId="26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43" fontId="0" fillId="0" borderId="9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2" xfId="1" applyNumberFormat="1" applyFont="1" applyBorder="1" applyAlignment="1">
      <alignment vertical="center"/>
    </xf>
    <xf numFmtId="43" fontId="0" fillId="0" borderId="27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43" fontId="0" fillId="0" borderId="6" xfId="1" applyNumberFormat="1" applyFont="1" applyBorder="1" applyAlignment="1">
      <alignment vertical="center"/>
    </xf>
    <xf numFmtId="43" fontId="0" fillId="0" borderId="29" xfId="1" applyNumberFormat="1" applyFont="1" applyBorder="1" applyAlignment="1">
      <alignment vertical="center"/>
    </xf>
    <xf numFmtId="43" fontId="0" fillId="0" borderId="16" xfId="1" applyNumberFormat="1" applyFont="1" applyBorder="1" applyAlignment="1">
      <alignment vertical="center"/>
    </xf>
    <xf numFmtId="43" fontId="0" fillId="0" borderId="23" xfId="1" applyNumberFormat="1" applyFont="1" applyBorder="1" applyAlignment="1">
      <alignment vertical="center"/>
    </xf>
    <xf numFmtId="43" fontId="0" fillId="0" borderId="24" xfId="1" applyNumberFormat="1" applyFont="1" applyBorder="1" applyAlignment="1">
      <alignment vertical="center"/>
    </xf>
    <xf numFmtId="43" fontId="0" fillId="0" borderId="18" xfId="1" applyNumberFormat="1" applyFont="1" applyBorder="1" applyAlignment="1">
      <alignment vertical="center"/>
    </xf>
    <xf numFmtId="43" fontId="0" fillId="0" borderId="30" xfId="1" applyNumberFormat="1" applyFont="1" applyBorder="1" applyAlignment="1">
      <alignment vertical="center"/>
    </xf>
    <xf numFmtId="43" fontId="0" fillId="0" borderId="31" xfId="1" applyNumberFormat="1" applyFont="1" applyBorder="1" applyAlignment="1">
      <alignment vertical="center"/>
    </xf>
    <xf numFmtId="0" fontId="7" fillId="0" borderId="24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43" fontId="0" fillId="0" borderId="32" xfId="1" applyNumberFormat="1" applyFont="1" applyBorder="1" applyAlignment="1">
      <alignment vertical="center"/>
    </xf>
    <xf numFmtId="43" fontId="0" fillId="0" borderId="33" xfId="1" applyNumberFormat="1" applyFont="1" applyBorder="1" applyAlignment="1">
      <alignment vertical="center"/>
    </xf>
    <xf numFmtId="43" fontId="0" fillId="0" borderId="19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4" xfId="1" applyNumberFormat="1" applyFont="1" applyBorder="1" applyAlignment="1">
      <alignment vertical="center"/>
    </xf>
    <xf numFmtId="43" fontId="0" fillId="0" borderId="5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0" fontId="7" fillId="0" borderId="25" xfId="2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4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43" fontId="0" fillId="0" borderId="8" xfId="1" applyNumberFormat="1" applyFont="1" applyBorder="1" applyAlignment="1">
      <alignment vertical="center"/>
    </xf>
    <xf numFmtId="43" fontId="0" fillId="0" borderId="10" xfId="1" applyNumberFormat="1" applyFont="1" applyBorder="1" applyAlignment="1">
      <alignment vertical="center"/>
    </xf>
    <xf numFmtId="43" fontId="0" fillId="0" borderId="39" xfId="0" applyNumberFormat="1" applyBorder="1" applyAlignment="1">
      <alignment vertical="center"/>
    </xf>
    <xf numFmtId="43" fontId="0" fillId="0" borderId="34" xfId="1" applyFont="1" applyBorder="1" applyAlignment="1">
      <alignment vertical="center"/>
    </xf>
    <xf numFmtId="43" fontId="0" fillId="0" borderId="41" xfId="1" applyNumberFormat="1" applyFont="1" applyBorder="1" applyAlignment="1">
      <alignment vertical="center"/>
    </xf>
    <xf numFmtId="43" fontId="0" fillId="0" borderId="40" xfId="0" applyNumberFormat="1" applyBorder="1" applyAlignment="1">
      <alignment vertical="center"/>
    </xf>
    <xf numFmtId="43" fontId="0" fillId="0" borderId="45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35" xfId="1" applyNumberFormat="1" applyFont="1" applyBorder="1" applyAlignment="1">
      <alignment vertical="center"/>
    </xf>
    <xf numFmtId="0" fontId="7" fillId="0" borderId="41" xfId="2" applyFont="1" applyBorder="1" applyAlignment="1">
      <alignment horizontal="center" vertical="center"/>
    </xf>
    <xf numFmtId="43" fontId="9" fillId="0" borderId="42" xfId="1" applyNumberFormat="1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43" fontId="0" fillId="0" borderId="26" xfId="1" applyNumberFormat="1" applyFont="1" applyBorder="1" applyAlignment="1">
      <alignment vertical="center"/>
    </xf>
    <xf numFmtId="43" fontId="0" fillId="0" borderId="28" xfId="1" applyNumberFormat="1" applyFont="1" applyBorder="1" applyAlignment="1">
      <alignment vertical="center"/>
    </xf>
    <xf numFmtId="43" fontId="0" fillId="0" borderId="42" xfId="1" applyNumberFormat="1" applyFont="1" applyBorder="1" applyAlignment="1">
      <alignment vertical="center"/>
    </xf>
    <xf numFmtId="43" fontId="0" fillId="0" borderId="48" xfId="1" applyNumberFormat="1" applyFont="1" applyBorder="1" applyAlignment="1">
      <alignment vertical="center"/>
    </xf>
    <xf numFmtId="43" fontId="0" fillId="0" borderId="49" xfId="1" applyNumberFormat="1" applyFont="1" applyBorder="1" applyAlignment="1">
      <alignment vertical="center"/>
    </xf>
    <xf numFmtId="43" fontId="0" fillId="0" borderId="50" xfId="1" applyNumberFormat="1" applyFont="1" applyBorder="1" applyAlignment="1">
      <alignment vertical="center"/>
    </xf>
    <xf numFmtId="43" fontId="0" fillId="0" borderId="51" xfId="1" applyNumberFormat="1" applyFont="1" applyBorder="1" applyAlignment="1">
      <alignment vertical="center"/>
    </xf>
    <xf numFmtId="43" fontId="0" fillId="0" borderId="19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43" xfId="1" applyFont="1" applyBorder="1" applyAlignment="1">
      <alignment vertical="center"/>
    </xf>
    <xf numFmtId="0" fontId="0" fillId="0" borderId="37" xfId="0" applyBorder="1" applyAlignment="1">
      <alignment vertical="center"/>
    </xf>
    <xf numFmtId="0" fontId="7" fillId="0" borderId="35" xfId="2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1" xfId="0" applyNumberFormat="1" applyBorder="1" applyAlignment="1">
      <alignment vertical="center"/>
    </xf>
    <xf numFmtId="43" fontId="0" fillId="0" borderId="39" xfId="1" applyNumberFormat="1" applyFont="1" applyBorder="1" applyAlignment="1">
      <alignment vertical="center"/>
    </xf>
    <xf numFmtId="43" fontId="0" fillId="0" borderId="15" xfId="1" applyNumberFormat="1" applyFont="1" applyBorder="1" applyAlignment="1">
      <alignment vertical="center"/>
    </xf>
    <xf numFmtId="43" fontId="0" fillId="0" borderId="38" xfId="1" applyNumberFormat="1" applyFont="1" applyBorder="1" applyAlignment="1">
      <alignment vertical="center"/>
    </xf>
    <xf numFmtId="0" fontId="0" fillId="0" borderId="52" xfId="0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52" xfId="2" applyFont="1" applyBorder="1" applyAlignment="1">
      <alignment horizontal="center" vertical="center"/>
    </xf>
    <xf numFmtId="43" fontId="0" fillId="0" borderId="13" xfId="1" applyNumberFormat="1" applyFont="1" applyBorder="1" applyAlignment="1">
      <alignment vertical="center"/>
    </xf>
    <xf numFmtId="43" fontId="0" fillId="0" borderId="14" xfId="1" applyNumberFormat="1" applyFont="1" applyBorder="1" applyAlignment="1">
      <alignment vertical="center"/>
    </xf>
    <xf numFmtId="43" fontId="9" fillId="0" borderId="23" xfId="1" applyNumberFormat="1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/>
    </xf>
    <xf numFmtId="43" fontId="0" fillId="0" borderId="27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164" fontId="0" fillId="0" borderId="17" xfId="1" applyNumberFormat="1" applyFont="1" applyBorder="1" applyAlignment="1">
      <alignment vertical="center"/>
    </xf>
    <xf numFmtId="164" fontId="0" fillId="0" borderId="23" xfId="1" applyNumberFormat="1" applyFont="1" applyBorder="1" applyAlignment="1">
      <alignment vertical="center"/>
    </xf>
    <xf numFmtId="164" fontId="0" fillId="0" borderId="42" xfId="1" applyNumberFormat="1" applyFont="1" applyBorder="1" applyAlignment="1">
      <alignment vertical="center"/>
    </xf>
    <xf numFmtId="164" fontId="0" fillId="0" borderId="46" xfId="1" applyNumberFormat="1" applyFont="1" applyBorder="1" applyAlignment="1">
      <alignment vertical="center"/>
    </xf>
    <xf numFmtId="164" fontId="0" fillId="0" borderId="34" xfId="1" applyNumberFormat="1" applyFont="1" applyBorder="1" applyAlignment="1">
      <alignment vertical="center"/>
    </xf>
    <xf numFmtId="164" fontId="0" fillId="0" borderId="36" xfId="1" applyNumberFormat="1" applyFont="1" applyBorder="1" applyAlignment="1">
      <alignment vertical="center"/>
    </xf>
    <xf numFmtId="164" fontId="0" fillId="0" borderId="41" xfId="1" applyNumberFormat="1" applyFont="1" applyBorder="1" applyAlignment="1">
      <alignment vertical="center"/>
    </xf>
    <xf numFmtId="164" fontId="0" fillId="0" borderId="43" xfId="1" applyNumberFormat="1" applyFon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53" xfId="1" applyNumberFormat="1" applyFont="1" applyBorder="1" applyAlignment="1">
      <alignment vertical="center"/>
    </xf>
    <xf numFmtId="43" fontId="0" fillId="0" borderId="54" xfId="1" applyNumberFormat="1" applyFont="1" applyBorder="1" applyAlignment="1">
      <alignment vertical="center"/>
    </xf>
    <xf numFmtId="43" fontId="0" fillId="0" borderId="47" xfId="1" applyNumberFormat="1" applyFont="1" applyBorder="1" applyAlignment="1">
      <alignment vertical="center"/>
    </xf>
    <xf numFmtId="43" fontId="0" fillId="0" borderId="20" xfId="1" applyNumberFormat="1" applyFont="1" applyBorder="1" applyAlignment="1">
      <alignment vertical="center"/>
    </xf>
    <xf numFmtId="43" fontId="0" fillId="0" borderId="21" xfId="1" applyNumberFormat="1" applyFont="1" applyBorder="1" applyAlignment="1">
      <alignment vertical="center"/>
    </xf>
    <xf numFmtId="43" fontId="13" fillId="0" borderId="39" xfId="0" applyNumberFormat="1" applyFont="1" applyBorder="1" applyAlignment="1">
      <alignment vertical="center"/>
    </xf>
    <xf numFmtId="43" fontId="13" fillId="0" borderId="27" xfId="0" applyNumberFormat="1" applyFont="1" applyBorder="1" applyAlignment="1">
      <alignment vertical="center"/>
    </xf>
    <xf numFmtId="43" fontId="0" fillId="0" borderId="52" xfId="1" applyNumberFormat="1" applyFont="1" applyBorder="1" applyAlignment="1">
      <alignment vertical="center"/>
    </xf>
    <xf numFmtId="43" fontId="0" fillId="0" borderId="52" xfId="0" applyNumberFormat="1" applyBorder="1" applyAlignment="1">
      <alignment vertical="center"/>
    </xf>
    <xf numFmtId="164" fontId="0" fillId="0" borderId="38" xfId="1" applyNumberFormat="1" applyFont="1" applyBorder="1" applyAlignment="1">
      <alignment vertical="center"/>
    </xf>
    <xf numFmtId="43" fontId="0" fillId="0" borderId="38" xfId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43" fontId="2" fillId="0" borderId="11" xfId="1" applyNumberFormat="1" applyFont="1" applyBorder="1" applyAlignment="1">
      <alignment vertical="center"/>
    </xf>
    <xf numFmtId="43" fontId="2" fillId="0" borderId="2" xfId="1" applyNumberFormat="1" applyFont="1" applyBorder="1" applyAlignment="1">
      <alignment vertical="center"/>
    </xf>
    <xf numFmtId="43" fontId="2" fillId="0" borderId="27" xfId="1" applyNumberFormat="1" applyFont="1" applyBorder="1" applyAlignment="1">
      <alignment vertical="center"/>
    </xf>
    <xf numFmtId="43" fontId="12" fillId="0" borderId="11" xfId="1" applyNumberFormat="1" applyFont="1" applyBorder="1" applyAlignment="1">
      <alignment vertical="center"/>
    </xf>
    <xf numFmtId="43" fontId="2" fillId="0" borderId="14" xfId="1" applyNumberFormat="1" applyFont="1" applyBorder="1" applyAlignment="1">
      <alignment vertical="center"/>
    </xf>
    <xf numFmtId="43" fontId="0" fillId="0" borderId="55" xfId="1" applyNumberFormat="1" applyFont="1" applyBorder="1" applyAlignment="1">
      <alignment vertical="center"/>
    </xf>
    <xf numFmtId="43" fontId="0" fillId="0" borderId="56" xfId="1" applyNumberFormat="1" applyFont="1" applyBorder="1" applyAlignment="1">
      <alignment vertical="center"/>
    </xf>
    <xf numFmtId="43" fontId="0" fillId="0" borderId="57" xfId="1" applyNumberFormat="1" applyFont="1" applyBorder="1" applyAlignment="1">
      <alignment vertical="center"/>
    </xf>
    <xf numFmtId="43" fontId="0" fillId="0" borderId="34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43" fontId="0" fillId="0" borderId="33" xfId="1" applyFont="1" applyBorder="1" applyAlignment="1">
      <alignment vertical="center"/>
    </xf>
    <xf numFmtId="43" fontId="0" fillId="0" borderId="3" xfId="1" applyFont="1" applyBorder="1" applyAlignment="1">
      <alignment vertical="center"/>
    </xf>
    <xf numFmtId="43" fontId="0" fillId="0" borderId="5" xfId="1" applyFont="1" applyBorder="1" applyAlignment="1">
      <alignment vertical="center"/>
    </xf>
    <xf numFmtId="0" fontId="7" fillId="0" borderId="37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0" fillId="0" borderId="34" xfId="1" applyNumberFormat="1" applyFont="1" applyBorder="1" applyAlignment="1">
      <alignment horizontal="center" vertical="center"/>
    </xf>
    <xf numFmtId="2" fontId="0" fillId="0" borderId="36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34" xfId="0" applyNumberFormat="1" applyFont="1" applyBorder="1" applyAlignment="1">
      <alignment horizontal="center" vertical="center"/>
    </xf>
    <xf numFmtId="0" fontId="12" fillId="0" borderId="36" xfId="0" applyNumberFormat="1" applyFont="1" applyBorder="1" applyAlignment="1">
      <alignment horizontal="center" vertical="center"/>
    </xf>
    <xf numFmtId="1" fontId="0" fillId="0" borderId="34" xfId="0" applyNumberFormat="1" applyFont="1" applyBorder="1" applyAlignment="1">
      <alignment horizontal="center" vertical="center"/>
    </xf>
    <xf numFmtId="1" fontId="0" fillId="0" borderId="36" xfId="0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PREMAC WAGES MARCH'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0"/>
  <sheetViews>
    <sheetView tabSelected="1" topLeftCell="E7" workbookViewId="0">
      <pane xSplit="21165" topLeftCell="P1"/>
      <selection activeCell="N34" sqref="N34"/>
      <selection pane="topRight" activeCell="P17" sqref="P17"/>
    </sheetView>
  </sheetViews>
  <sheetFormatPr defaultRowHeight="15" x14ac:dyDescent="0.25"/>
  <cols>
    <col min="1" max="1" width="7.5703125" style="1" customWidth="1"/>
    <col min="2" max="2" width="4.85546875" style="2" customWidth="1"/>
    <col min="3" max="3" width="10.5703125" style="1" bestFit="1" customWidth="1"/>
    <col min="4" max="4" width="10.5703125" style="1" customWidth="1"/>
    <col min="5" max="5" width="4.7109375" style="1" customWidth="1"/>
    <col min="6" max="6" width="11" style="1" customWidth="1"/>
    <col min="7" max="26" width="11.7109375" style="1" customWidth="1"/>
    <col min="27" max="27" width="9.5703125" style="1" bestFit="1" customWidth="1"/>
    <col min="28" max="16384" width="9.140625" style="1"/>
  </cols>
  <sheetData>
    <row r="1" spans="1:22" ht="33.75" x14ac:dyDescent="0.25">
      <c r="A1" s="13" t="s">
        <v>62</v>
      </c>
    </row>
    <row r="2" spans="1:22" ht="5.25" customHeight="1" x14ac:dyDescent="0.25"/>
    <row r="3" spans="1:22" ht="16.5" thickBot="1" x14ac:dyDescent="0.3">
      <c r="C3" s="132"/>
      <c r="D3" s="131"/>
      <c r="F3" s="46" t="s">
        <v>21</v>
      </c>
      <c r="G3" s="12"/>
      <c r="H3" s="12"/>
      <c r="I3" s="12"/>
    </row>
    <row r="4" spans="1:22" ht="16.5" thickBot="1" x14ac:dyDescent="0.3">
      <c r="A4" s="141" t="s">
        <v>7</v>
      </c>
      <c r="B4" s="6" t="s">
        <v>12</v>
      </c>
      <c r="C4" s="133">
        <f>L6+O24+N43+N62</f>
        <v>1759.4099999999999</v>
      </c>
      <c r="D4" s="83"/>
      <c r="F4" s="121" t="s">
        <v>63</v>
      </c>
      <c r="G4" s="142" t="s">
        <v>36</v>
      </c>
      <c r="H4" s="143"/>
      <c r="I4" s="142" t="s">
        <v>37</v>
      </c>
      <c r="J4" s="143"/>
      <c r="K4" s="142" t="s">
        <v>38</v>
      </c>
      <c r="L4" s="144"/>
      <c r="M4" s="143"/>
      <c r="N4" s="142" t="s">
        <v>41</v>
      </c>
      <c r="O4" s="144"/>
      <c r="P4" s="143"/>
      <c r="Q4" s="136" t="s">
        <v>46</v>
      </c>
      <c r="R4" s="136" t="s">
        <v>39</v>
      </c>
      <c r="S4" s="138" t="s">
        <v>42</v>
      </c>
      <c r="T4" s="93"/>
      <c r="U4" s="140"/>
      <c r="V4" s="140"/>
    </row>
    <row r="5" spans="1:22" ht="15.75" thickBot="1" x14ac:dyDescent="0.3">
      <c r="A5" s="141"/>
      <c r="B5" s="7" t="s">
        <v>13</v>
      </c>
      <c r="C5" s="134">
        <f>(M6+P24+O43+O62+O81+O100+O119+O138+O176)*2</f>
        <v>1012.4999999999999</v>
      </c>
      <c r="D5" s="83"/>
      <c r="F5" s="45" t="s">
        <v>22</v>
      </c>
      <c r="G5" s="14" t="s">
        <v>18</v>
      </c>
      <c r="H5" s="35" t="s">
        <v>35</v>
      </c>
      <c r="I5" s="14" t="s">
        <v>20</v>
      </c>
      <c r="J5" s="16" t="s">
        <v>45</v>
      </c>
      <c r="K5" s="15" t="s">
        <v>20</v>
      </c>
      <c r="L5" s="36" t="s">
        <v>12</v>
      </c>
      <c r="M5" s="35" t="s">
        <v>13</v>
      </c>
      <c r="N5" s="60" t="s">
        <v>13</v>
      </c>
      <c r="O5" s="61" t="s">
        <v>40</v>
      </c>
      <c r="P5" s="62" t="s">
        <v>20</v>
      </c>
      <c r="Q5" s="137"/>
      <c r="R5" s="137"/>
      <c r="S5" s="139"/>
      <c r="T5" s="93"/>
      <c r="U5" s="140"/>
      <c r="V5" s="140"/>
    </row>
    <row r="6" spans="1:22" x14ac:dyDescent="0.25">
      <c r="A6" s="141" t="s">
        <v>0</v>
      </c>
      <c r="B6" s="7" t="s">
        <v>12</v>
      </c>
      <c r="C6" s="134">
        <f>L7+O25+N44</f>
        <v>1678.19</v>
      </c>
      <c r="D6" s="83"/>
      <c r="F6" s="18" t="s">
        <v>23</v>
      </c>
      <c r="G6" s="32">
        <v>10000</v>
      </c>
      <c r="H6" s="34">
        <v>0</v>
      </c>
      <c r="I6" s="38">
        <v>721</v>
      </c>
      <c r="J6" s="39">
        <v>0</v>
      </c>
      <c r="K6" s="107">
        <f>I6</f>
        <v>721</v>
      </c>
      <c r="L6" s="32">
        <v>746.45</v>
      </c>
      <c r="M6" s="34">
        <v>107.21</v>
      </c>
      <c r="N6" s="51">
        <v>107.21</v>
      </c>
      <c r="O6" s="21">
        <v>107.21</v>
      </c>
      <c r="P6" s="110">
        <f>I6</f>
        <v>721</v>
      </c>
      <c r="Q6" s="57">
        <v>242</v>
      </c>
      <c r="R6" s="53">
        <f>G6+I6+J6</f>
        <v>10721</v>
      </c>
      <c r="S6" s="79">
        <f t="shared" ref="S6:S17" si="0">SUM(G6:H6)-SUM(K6:M6)</f>
        <v>8425.34</v>
      </c>
      <c r="T6" s="114"/>
      <c r="U6" s="84"/>
      <c r="V6" s="83"/>
    </row>
    <row r="7" spans="1:22" x14ac:dyDescent="0.25">
      <c r="A7" s="141"/>
      <c r="B7" s="7" t="s">
        <v>13</v>
      </c>
      <c r="C7" s="134">
        <f>(M7+P25+O44+O63+O82+O101+O120+O139+O177)*2</f>
        <v>1013.7799999999999</v>
      </c>
      <c r="D7" s="84"/>
      <c r="F7" s="19" t="s">
        <v>24</v>
      </c>
      <c r="G7" s="22">
        <v>10000</v>
      </c>
      <c r="H7" s="24">
        <v>0</v>
      </c>
      <c r="I7" s="38">
        <v>721</v>
      </c>
      <c r="J7" s="41">
        <v>0</v>
      </c>
      <c r="K7" s="108">
        <f t="shared" ref="K7:K17" si="1">I7</f>
        <v>721</v>
      </c>
      <c r="L7" s="22">
        <v>746.45</v>
      </c>
      <c r="M7" s="24">
        <v>107.21</v>
      </c>
      <c r="N7" s="40">
        <v>107.21</v>
      </c>
      <c r="O7" s="23">
        <v>107.21</v>
      </c>
      <c r="P7" s="41">
        <f t="shared" ref="P7:P17" si="2">I7</f>
        <v>721</v>
      </c>
      <c r="Q7" s="57">
        <v>242</v>
      </c>
      <c r="R7" s="53">
        <f t="shared" ref="R7:R17" si="3">G7+I7+J7</f>
        <v>10721</v>
      </c>
      <c r="S7" s="79">
        <f t="shared" si="0"/>
        <v>8425.34</v>
      </c>
      <c r="T7" s="114"/>
      <c r="U7" s="84"/>
      <c r="V7" s="83"/>
    </row>
    <row r="8" spans="1:22" x14ac:dyDescent="0.25">
      <c r="A8" s="141" t="s">
        <v>1</v>
      </c>
      <c r="B8" s="7" t="s">
        <v>12</v>
      </c>
      <c r="C8" s="134">
        <f>L8+O26+N45</f>
        <v>1971.2400000000002</v>
      </c>
      <c r="D8" s="84"/>
      <c r="F8" s="19" t="s">
        <v>25</v>
      </c>
      <c r="G8" s="22">
        <v>10000</v>
      </c>
      <c r="H8" s="24">
        <v>0</v>
      </c>
      <c r="I8" s="38">
        <v>721</v>
      </c>
      <c r="J8" s="41">
        <v>0</v>
      </c>
      <c r="K8" s="40">
        <f t="shared" si="1"/>
        <v>721</v>
      </c>
      <c r="L8" s="22">
        <v>746.45</v>
      </c>
      <c r="M8" s="24">
        <v>107.21</v>
      </c>
      <c r="N8" s="40">
        <v>107.21</v>
      </c>
      <c r="O8" s="23">
        <v>107.21</v>
      </c>
      <c r="P8" s="111">
        <f t="shared" si="2"/>
        <v>721</v>
      </c>
      <c r="Q8" s="57">
        <v>242</v>
      </c>
      <c r="R8" s="53">
        <f t="shared" si="3"/>
        <v>10721</v>
      </c>
      <c r="S8" s="79">
        <f t="shared" si="0"/>
        <v>8425.34</v>
      </c>
      <c r="T8" s="114"/>
      <c r="U8" s="84"/>
      <c r="V8" s="83"/>
    </row>
    <row r="9" spans="1:22" x14ac:dyDescent="0.25">
      <c r="A9" s="141"/>
      <c r="B9" s="7" t="s">
        <v>13</v>
      </c>
      <c r="C9" s="134">
        <f>(N8+P26+O45+O64+O83+O102+O121+O140+O178)*2</f>
        <v>1209.6199999999999</v>
      </c>
      <c r="D9" s="84"/>
      <c r="F9" s="19" t="s">
        <v>26</v>
      </c>
      <c r="G9" s="22">
        <v>10000</v>
      </c>
      <c r="H9" s="24">
        <v>0</v>
      </c>
      <c r="I9" s="38">
        <v>721</v>
      </c>
      <c r="J9" s="41">
        <v>0</v>
      </c>
      <c r="K9" s="109">
        <f t="shared" si="1"/>
        <v>721</v>
      </c>
      <c r="L9" s="22">
        <v>746.45</v>
      </c>
      <c r="M9" s="24">
        <v>107.21</v>
      </c>
      <c r="N9" s="40">
        <v>107.21</v>
      </c>
      <c r="O9" s="23">
        <v>107.21</v>
      </c>
      <c r="P9" s="41">
        <f t="shared" si="2"/>
        <v>721</v>
      </c>
      <c r="Q9" s="57">
        <v>242</v>
      </c>
      <c r="R9" s="53">
        <f t="shared" si="3"/>
        <v>10721</v>
      </c>
      <c r="S9" s="79">
        <f t="shared" si="0"/>
        <v>8425.34</v>
      </c>
      <c r="T9" s="114"/>
      <c r="U9" s="84"/>
      <c r="V9" s="83"/>
    </row>
    <row r="10" spans="1:22" x14ac:dyDescent="0.25">
      <c r="A10" s="141" t="s">
        <v>2</v>
      </c>
      <c r="B10" s="7" t="s">
        <v>12</v>
      </c>
      <c r="C10" s="134">
        <f>L9+O27+N46</f>
        <v>1666.8000000000002</v>
      </c>
      <c r="D10" s="84"/>
      <c r="F10" s="19" t="s">
        <v>27</v>
      </c>
      <c r="G10" s="22">
        <v>10000</v>
      </c>
      <c r="H10" s="24">
        <v>0</v>
      </c>
      <c r="I10" s="38">
        <v>721</v>
      </c>
      <c r="J10" s="41">
        <v>0</v>
      </c>
      <c r="K10" s="40">
        <f t="shared" si="1"/>
        <v>721</v>
      </c>
      <c r="L10" s="22">
        <v>746.45</v>
      </c>
      <c r="M10" s="24">
        <v>107.21</v>
      </c>
      <c r="N10" s="40">
        <f t="shared" ref="N10:N17" si="4">M10</f>
        <v>107.21</v>
      </c>
      <c r="O10" s="23">
        <v>107.21</v>
      </c>
      <c r="P10" s="111">
        <f t="shared" si="2"/>
        <v>721</v>
      </c>
      <c r="Q10" s="57">
        <v>242</v>
      </c>
      <c r="R10" s="53">
        <f t="shared" si="3"/>
        <v>10721</v>
      </c>
      <c r="S10" s="79">
        <f t="shared" si="0"/>
        <v>8425.34</v>
      </c>
      <c r="T10" s="114"/>
      <c r="U10" s="84"/>
      <c r="V10" s="83"/>
    </row>
    <row r="11" spans="1:22" x14ac:dyDescent="0.25">
      <c r="A11" s="141"/>
      <c r="B11" s="7" t="s">
        <v>13</v>
      </c>
      <c r="C11" s="134">
        <f>(M9+P27+O46+O65+O84+O103+O122+O141+O179)*2</f>
        <v>1028.0999999999999</v>
      </c>
      <c r="D11" s="84"/>
      <c r="F11" s="19" t="s">
        <v>28</v>
      </c>
      <c r="G11" s="22">
        <v>10000</v>
      </c>
      <c r="H11" s="24">
        <v>0</v>
      </c>
      <c r="I11" s="38">
        <v>721</v>
      </c>
      <c r="J11" s="41">
        <v>0</v>
      </c>
      <c r="K11" s="109">
        <f t="shared" si="1"/>
        <v>721</v>
      </c>
      <c r="L11" s="22">
        <v>746.45</v>
      </c>
      <c r="M11" s="24">
        <v>107.21</v>
      </c>
      <c r="N11" s="40">
        <f t="shared" si="4"/>
        <v>107.21</v>
      </c>
      <c r="O11" s="23">
        <v>107.21</v>
      </c>
      <c r="P11" s="41">
        <f t="shared" si="2"/>
        <v>721</v>
      </c>
      <c r="Q11" s="57">
        <v>242</v>
      </c>
      <c r="R11" s="53">
        <f t="shared" si="3"/>
        <v>10721</v>
      </c>
      <c r="S11" s="79">
        <f t="shared" si="0"/>
        <v>8425.34</v>
      </c>
      <c r="T11" s="114"/>
      <c r="U11" s="84"/>
      <c r="V11" s="83"/>
    </row>
    <row r="12" spans="1:22" x14ac:dyDescent="0.25">
      <c r="A12" s="141" t="s">
        <v>3</v>
      </c>
      <c r="B12" s="7" t="s">
        <v>12</v>
      </c>
      <c r="C12" s="134">
        <f>L10+O28+N47</f>
        <v>2336.5100000000002</v>
      </c>
      <c r="D12" s="84"/>
      <c r="F12" s="19" t="s">
        <v>29</v>
      </c>
      <c r="G12" s="22">
        <v>10000</v>
      </c>
      <c r="H12" s="24">
        <v>0</v>
      </c>
      <c r="I12" s="38">
        <v>721</v>
      </c>
      <c r="J12" s="41">
        <v>0</v>
      </c>
      <c r="K12" s="40">
        <f t="shared" si="1"/>
        <v>721</v>
      </c>
      <c r="L12" s="22">
        <v>746.45</v>
      </c>
      <c r="M12" s="24">
        <v>107.21</v>
      </c>
      <c r="N12" s="40">
        <f t="shared" si="4"/>
        <v>107.21</v>
      </c>
      <c r="O12" s="23">
        <v>107.21</v>
      </c>
      <c r="P12" s="111">
        <f t="shared" si="2"/>
        <v>721</v>
      </c>
      <c r="Q12" s="57">
        <v>242</v>
      </c>
      <c r="R12" s="53">
        <f t="shared" si="3"/>
        <v>10721</v>
      </c>
      <c r="S12" s="79">
        <f t="shared" si="0"/>
        <v>8425.34</v>
      </c>
      <c r="T12" s="114"/>
      <c r="U12" s="84"/>
      <c r="V12" s="83"/>
    </row>
    <row r="13" spans="1:22" x14ac:dyDescent="0.25">
      <c r="A13" s="141"/>
      <c r="B13" s="7" t="s">
        <v>13</v>
      </c>
      <c r="C13" s="134">
        <f>(M10+P28+O47+O66+O85+O104+O123+O142+O180)*2</f>
        <v>1229.78</v>
      </c>
      <c r="D13" s="84"/>
      <c r="F13" s="19" t="s">
        <v>30</v>
      </c>
      <c r="G13" s="22">
        <v>10000</v>
      </c>
      <c r="H13" s="24">
        <v>0</v>
      </c>
      <c r="I13" s="38">
        <v>721</v>
      </c>
      <c r="J13" s="41">
        <v>0</v>
      </c>
      <c r="K13" s="109">
        <f t="shared" si="1"/>
        <v>721</v>
      </c>
      <c r="L13" s="22">
        <v>746.45</v>
      </c>
      <c r="M13" s="24">
        <v>107.21</v>
      </c>
      <c r="N13" s="40">
        <f t="shared" si="4"/>
        <v>107.21</v>
      </c>
      <c r="O13" s="23">
        <v>107.21</v>
      </c>
      <c r="P13" s="41">
        <f t="shared" si="2"/>
        <v>721</v>
      </c>
      <c r="Q13" s="57">
        <v>242</v>
      </c>
      <c r="R13" s="53">
        <f t="shared" si="3"/>
        <v>10721</v>
      </c>
      <c r="S13" s="79">
        <f t="shared" si="0"/>
        <v>8425.34</v>
      </c>
      <c r="T13" s="114"/>
      <c r="U13" s="84"/>
      <c r="V13" s="83"/>
    </row>
    <row r="14" spans="1:22" x14ac:dyDescent="0.25">
      <c r="A14" s="141" t="s">
        <v>6</v>
      </c>
      <c r="B14" s="7" t="s">
        <v>12</v>
      </c>
      <c r="C14" s="134">
        <f>L11+O29+N48+N143</f>
        <v>2414.1000000000004</v>
      </c>
      <c r="D14" s="84"/>
      <c r="F14" s="19" t="s">
        <v>31</v>
      </c>
      <c r="G14" s="22">
        <v>10000</v>
      </c>
      <c r="H14" s="24">
        <v>0</v>
      </c>
      <c r="I14" s="38">
        <v>721</v>
      </c>
      <c r="J14" s="41">
        <v>0</v>
      </c>
      <c r="K14" s="40">
        <f t="shared" si="1"/>
        <v>721</v>
      </c>
      <c r="L14" s="22">
        <v>746.45</v>
      </c>
      <c r="M14" s="24">
        <v>107.21</v>
      </c>
      <c r="N14" s="40">
        <f t="shared" si="4"/>
        <v>107.21</v>
      </c>
      <c r="O14" s="23">
        <v>107.21</v>
      </c>
      <c r="P14" s="111">
        <f t="shared" si="2"/>
        <v>721</v>
      </c>
      <c r="Q14" s="57">
        <v>242</v>
      </c>
      <c r="R14" s="53">
        <f t="shared" si="3"/>
        <v>10721</v>
      </c>
      <c r="S14" s="79">
        <f t="shared" si="0"/>
        <v>8425.34</v>
      </c>
      <c r="T14" s="114"/>
      <c r="U14" s="84"/>
      <c r="V14" s="83"/>
    </row>
    <row r="15" spans="1:22" x14ac:dyDescent="0.25">
      <c r="A15" s="141"/>
      <c r="B15" s="7" t="s">
        <v>13</v>
      </c>
      <c r="C15" s="134">
        <f>(M11+P29+O48+O67+O86+O105+O124+O143+O162+O181)*2</f>
        <v>1033.6599999999999</v>
      </c>
      <c r="D15" s="84"/>
      <c r="F15" s="19" t="s">
        <v>32</v>
      </c>
      <c r="G15" s="22">
        <v>10000</v>
      </c>
      <c r="H15" s="24">
        <v>4000</v>
      </c>
      <c r="I15" s="38">
        <v>721</v>
      </c>
      <c r="J15" s="41">
        <v>0</v>
      </c>
      <c r="K15" s="40">
        <f t="shared" si="1"/>
        <v>721</v>
      </c>
      <c r="L15" s="22">
        <v>746.45</v>
      </c>
      <c r="M15" s="24">
        <v>124.78</v>
      </c>
      <c r="N15" s="40">
        <f t="shared" si="4"/>
        <v>124.78</v>
      </c>
      <c r="O15" s="23">
        <v>147.21</v>
      </c>
      <c r="P15" s="41">
        <f t="shared" si="2"/>
        <v>721</v>
      </c>
      <c r="Q15" s="57">
        <v>242</v>
      </c>
      <c r="R15" s="53">
        <f>G15+I15+J15+H15</f>
        <v>14721</v>
      </c>
      <c r="S15" s="79">
        <f t="shared" si="0"/>
        <v>12407.77</v>
      </c>
      <c r="T15" s="114"/>
      <c r="U15" s="84"/>
      <c r="V15" s="83"/>
    </row>
    <row r="16" spans="1:22" x14ac:dyDescent="0.25">
      <c r="A16" s="141" t="s">
        <v>4</v>
      </c>
      <c r="B16" s="7" t="s">
        <v>12</v>
      </c>
      <c r="C16" s="134">
        <f>L12+O30+N49+N144</f>
        <v>3108.76</v>
      </c>
      <c r="D16" s="84"/>
      <c r="F16" s="19" t="s">
        <v>33</v>
      </c>
      <c r="G16" s="22">
        <v>10000</v>
      </c>
      <c r="H16" s="24">
        <v>0</v>
      </c>
      <c r="I16" s="38">
        <v>721</v>
      </c>
      <c r="J16" s="41">
        <v>0</v>
      </c>
      <c r="K16" s="38">
        <f t="shared" si="1"/>
        <v>721</v>
      </c>
      <c r="L16" s="22">
        <v>746.45</v>
      </c>
      <c r="M16" s="24">
        <v>107.21</v>
      </c>
      <c r="N16" s="40">
        <f t="shared" si="4"/>
        <v>107.21</v>
      </c>
      <c r="O16" s="23">
        <v>107.21</v>
      </c>
      <c r="P16" s="41">
        <f t="shared" si="2"/>
        <v>721</v>
      </c>
      <c r="Q16" s="57">
        <v>242</v>
      </c>
      <c r="R16" s="53">
        <f t="shared" si="3"/>
        <v>10721</v>
      </c>
      <c r="S16" s="79">
        <f t="shared" si="0"/>
        <v>8425.34</v>
      </c>
      <c r="T16" s="114"/>
      <c r="U16" s="84"/>
      <c r="V16" s="83"/>
    </row>
    <row r="17" spans="1:28" ht="15.75" thickBot="1" x14ac:dyDescent="0.3">
      <c r="A17" s="141"/>
      <c r="B17" s="7" t="s">
        <v>13</v>
      </c>
      <c r="C17" s="134">
        <f>(M12+P30+O49+O68+O87+O106+O125+O144+O163+O182)*2</f>
        <v>1136.74</v>
      </c>
      <c r="D17" s="84"/>
      <c r="F17" s="20" t="s">
        <v>34</v>
      </c>
      <c r="G17" s="26">
        <v>10000</v>
      </c>
      <c r="H17" s="28">
        <v>0</v>
      </c>
      <c r="I17" s="38">
        <v>721</v>
      </c>
      <c r="J17" s="43">
        <v>0</v>
      </c>
      <c r="K17" s="33">
        <f t="shared" si="1"/>
        <v>721</v>
      </c>
      <c r="L17" s="26">
        <v>746.45</v>
      </c>
      <c r="M17" s="28">
        <v>107.21</v>
      </c>
      <c r="N17" s="42">
        <f t="shared" si="4"/>
        <v>107.21</v>
      </c>
      <c r="O17" s="27">
        <v>107.21</v>
      </c>
      <c r="P17" s="39">
        <f t="shared" si="2"/>
        <v>721</v>
      </c>
      <c r="Q17" s="58">
        <v>242</v>
      </c>
      <c r="R17" s="53">
        <f t="shared" si="3"/>
        <v>10721</v>
      </c>
      <c r="S17" s="80">
        <f t="shared" si="0"/>
        <v>8425.34</v>
      </c>
      <c r="T17" s="114"/>
      <c r="U17" s="84"/>
      <c r="V17" s="83"/>
    </row>
    <row r="18" spans="1:28" ht="15.75" thickBot="1" x14ac:dyDescent="0.3">
      <c r="A18" s="141" t="s">
        <v>8</v>
      </c>
      <c r="B18" s="7" t="s">
        <v>12</v>
      </c>
      <c r="C18" s="134">
        <f>L13+O31+N50+N145</f>
        <v>3668.5499999999997</v>
      </c>
      <c r="D18" s="84"/>
      <c r="G18" s="29">
        <f t="shared" ref="G18:S18" si="5">SUM(G6:G17)</f>
        <v>120000</v>
      </c>
      <c r="H18" s="31">
        <f t="shared" si="5"/>
        <v>4000</v>
      </c>
      <c r="I18" s="29">
        <f t="shared" si="5"/>
        <v>8652</v>
      </c>
      <c r="J18" s="44">
        <f t="shared" si="5"/>
        <v>0</v>
      </c>
      <c r="K18" s="30">
        <f t="shared" si="5"/>
        <v>8652</v>
      </c>
      <c r="L18" s="37">
        <f t="shared" si="5"/>
        <v>8957.4</v>
      </c>
      <c r="M18" s="31">
        <f t="shared" si="5"/>
        <v>1304.0900000000001</v>
      </c>
      <c r="N18" s="29">
        <f t="shared" si="5"/>
        <v>1304.0900000000001</v>
      </c>
      <c r="O18" s="30">
        <f t="shared" si="5"/>
        <v>1326.5200000000002</v>
      </c>
      <c r="P18" s="44">
        <f t="shared" si="5"/>
        <v>8652</v>
      </c>
      <c r="Q18" s="59">
        <f>SUM(Q6:Q17)</f>
        <v>2904</v>
      </c>
      <c r="R18" s="54">
        <f t="shared" si="5"/>
        <v>132652</v>
      </c>
      <c r="S18" s="81">
        <f t="shared" si="5"/>
        <v>105086.50999999998</v>
      </c>
      <c r="T18" s="114"/>
      <c r="U18" s="84"/>
      <c r="V18" s="84" t="s">
        <v>56</v>
      </c>
    </row>
    <row r="19" spans="1:28" ht="15.75" thickBot="1" x14ac:dyDescent="0.3">
      <c r="A19" s="141"/>
      <c r="B19" s="7" t="s">
        <v>13</v>
      </c>
      <c r="C19" s="134">
        <f>(M13+P31+O50+O69+O88+O107+O126+O145+O164+O183)*2</f>
        <v>1400.06</v>
      </c>
      <c r="D19" s="84"/>
      <c r="G19" s="95">
        <v>3601</v>
      </c>
      <c r="H19" s="95">
        <v>3605</v>
      </c>
      <c r="I19" s="95">
        <v>3810</v>
      </c>
      <c r="K19" s="95">
        <v>4005</v>
      </c>
      <c r="L19" s="95">
        <v>4102</v>
      </c>
      <c r="M19" s="145">
        <f>SUM(M18:N18)</f>
        <v>2608.1800000000003</v>
      </c>
      <c r="N19" s="146"/>
      <c r="P19" s="95" t="s">
        <v>47</v>
      </c>
      <c r="Q19" s="95">
        <v>4116</v>
      </c>
      <c r="R19" s="95">
        <v>3698</v>
      </c>
    </row>
    <row r="20" spans="1:28" x14ac:dyDescent="0.25">
      <c r="A20" s="141" t="s">
        <v>5</v>
      </c>
      <c r="B20" s="7" t="s">
        <v>12</v>
      </c>
      <c r="C20" s="134">
        <f>L14+O32+N51+N146</f>
        <v>2949.4199999999996</v>
      </c>
      <c r="D20" s="84"/>
      <c r="M20" s="147">
        <v>4141</v>
      </c>
      <c r="N20" s="147"/>
      <c r="O20" s="147"/>
      <c r="P20" s="147"/>
    </row>
    <row r="21" spans="1:28" ht="16.5" thickBot="1" x14ac:dyDescent="0.3">
      <c r="A21" s="141"/>
      <c r="B21" s="7" t="s">
        <v>13</v>
      </c>
      <c r="C21" s="134">
        <f>(M14+P32+O51+O70+O89+O108+O127+O146+O165+O184)*2</f>
        <v>1135.42</v>
      </c>
      <c r="D21" s="84"/>
      <c r="F21" s="46" t="s">
        <v>52</v>
      </c>
      <c r="G21" s="12"/>
      <c r="H21" s="12"/>
      <c r="I21" s="12"/>
    </row>
    <row r="22" spans="1:28" ht="16.5" thickBot="1" x14ac:dyDescent="0.3">
      <c r="A22" s="141" t="s">
        <v>9</v>
      </c>
      <c r="B22" s="7" t="s">
        <v>12</v>
      </c>
      <c r="C22" s="134">
        <f>L15+O33+N52+N147</f>
        <v>7589.68</v>
      </c>
      <c r="D22" s="84"/>
      <c r="F22" s="121"/>
      <c r="G22" s="142" t="s">
        <v>36</v>
      </c>
      <c r="H22" s="144"/>
      <c r="I22" s="144"/>
      <c r="J22" s="143"/>
      <c r="K22" s="142" t="s">
        <v>37</v>
      </c>
      <c r="L22" s="143"/>
      <c r="M22" s="142" t="s">
        <v>38</v>
      </c>
      <c r="N22" s="144"/>
      <c r="O22" s="144"/>
      <c r="P22" s="143"/>
      <c r="Q22" s="118" t="s">
        <v>41</v>
      </c>
      <c r="R22" s="119"/>
      <c r="S22" s="119"/>
      <c r="T22" s="120"/>
      <c r="U22" s="136" t="s">
        <v>46</v>
      </c>
      <c r="V22" s="136" t="s">
        <v>39</v>
      </c>
      <c r="W22" s="91"/>
      <c r="X22" s="154" t="s">
        <v>42</v>
      </c>
      <c r="Y22" s="156" t="s">
        <v>43</v>
      </c>
      <c r="Z22" s="158" t="s">
        <v>44</v>
      </c>
    </row>
    <row r="23" spans="1:28" ht="15.75" thickBot="1" x14ac:dyDescent="0.3">
      <c r="A23" s="141"/>
      <c r="B23" s="7" t="s">
        <v>13</v>
      </c>
      <c r="C23" s="134">
        <f>(M15+P33+O52+O71+O90+O109+O128+O147+O166+O185)*2</f>
        <v>1958.6399999999999</v>
      </c>
      <c r="D23" s="84"/>
      <c r="F23" s="45" t="s">
        <v>22</v>
      </c>
      <c r="G23" s="14" t="s">
        <v>18</v>
      </c>
      <c r="H23" s="76" t="s">
        <v>49</v>
      </c>
      <c r="I23" s="15" t="s">
        <v>48</v>
      </c>
      <c r="J23" s="35" t="s">
        <v>35</v>
      </c>
      <c r="K23" s="14" t="s">
        <v>20</v>
      </c>
      <c r="L23" s="16" t="s">
        <v>45</v>
      </c>
      <c r="M23" s="15" t="s">
        <v>19</v>
      </c>
      <c r="N23" s="15" t="s">
        <v>20</v>
      </c>
      <c r="O23" s="36" t="s">
        <v>12</v>
      </c>
      <c r="P23" s="35" t="s">
        <v>13</v>
      </c>
      <c r="Q23" s="63" t="s">
        <v>13</v>
      </c>
      <c r="R23" s="61" t="s">
        <v>40</v>
      </c>
      <c r="S23" s="16" t="s">
        <v>20</v>
      </c>
      <c r="T23" s="16" t="s">
        <v>19</v>
      </c>
      <c r="U23" s="137"/>
      <c r="V23" s="137"/>
      <c r="W23" s="92"/>
      <c r="X23" s="155"/>
      <c r="Y23" s="157"/>
      <c r="Z23" s="159"/>
    </row>
    <row r="24" spans="1:28" x14ac:dyDescent="0.25">
      <c r="A24" s="141" t="s">
        <v>10</v>
      </c>
      <c r="B24" s="7" t="s">
        <v>12</v>
      </c>
      <c r="C24" s="134">
        <f>L16+O34+N53+N148</f>
        <v>818.58999999999992</v>
      </c>
      <c r="D24" s="84"/>
      <c r="F24" s="18" t="s">
        <v>23</v>
      </c>
      <c r="G24" s="32">
        <v>11040</v>
      </c>
      <c r="H24" s="57">
        <v>0</v>
      </c>
      <c r="I24" s="33">
        <v>0</v>
      </c>
      <c r="J24" s="34">
        <v>0</v>
      </c>
      <c r="K24" s="38">
        <f t="shared" ref="K24:K32" si="6">415.62*4</f>
        <v>1662.48</v>
      </c>
      <c r="L24" s="39">
        <f>350+350+350+350</f>
        <v>1400</v>
      </c>
      <c r="M24" s="33">
        <f>182.16*4</f>
        <v>728.64</v>
      </c>
      <c r="N24" s="33">
        <f>K24</f>
        <v>1662.48</v>
      </c>
      <c r="O24" s="32">
        <f>151.5+145.79+145.79+236.5</f>
        <v>679.57999999999993</v>
      </c>
      <c r="P24" s="34">
        <v>115.2</v>
      </c>
      <c r="Q24" s="64">
        <v>115.2</v>
      </c>
      <c r="R24" s="67">
        <v>119.72</v>
      </c>
      <c r="S24" s="33">
        <f>K24</f>
        <v>1662.48</v>
      </c>
      <c r="T24" s="70">
        <f t="shared" ref="T24:T35" si="7">M24</f>
        <v>728.64</v>
      </c>
      <c r="U24" s="57">
        <v>596.32000000000005</v>
      </c>
      <c r="V24" s="112">
        <f t="shared" ref="V24:V35" si="8">G24+K24-M24+J24+H24+I24</f>
        <v>11973.84</v>
      </c>
      <c r="W24" s="53"/>
      <c r="X24" s="38">
        <f t="shared" ref="X24:X35" si="9">SUM(G24:J24)-SUM(M24:P24)</f>
        <v>7854.1</v>
      </c>
      <c r="Y24" s="71">
        <f>1046+1046.01+1146.01+1146.01</f>
        <v>4384.0300000000007</v>
      </c>
      <c r="Z24" s="78">
        <f>X24-Y24</f>
        <v>3470.0699999999997</v>
      </c>
    </row>
    <row r="25" spans="1:28" x14ac:dyDescent="0.25">
      <c r="A25" s="141"/>
      <c r="B25" s="7" t="s">
        <v>13</v>
      </c>
      <c r="C25" s="134">
        <f>(M16+P34+O53+O72+O91+O110+O129+O148+O167+O186)*2</f>
        <v>1028.1799999999998</v>
      </c>
      <c r="D25" s="84"/>
      <c r="F25" s="19" t="s">
        <v>24</v>
      </c>
      <c r="G25" s="22">
        <f>2760*4</f>
        <v>11040</v>
      </c>
      <c r="H25" s="68">
        <v>0</v>
      </c>
      <c r="I25" s="23">
        <v>0</v>
      </c>
      <c r="J25" s="24">
        <v>0</v>
      </c>
      <c r="K25" s="38">
        <f t="shared" si="6"/>
        <v>1662.48</v>
      </c>
      <c r="L25" s="41">
        <f t="shared" ref="L25:L30" si="10">350*4</f>
        <v>1400</v>
      </c>
      <c r="M25" s="23">
        <f>182.16*4</f>
        <v>728.64</v>
      </c>
      <c r="N25" s="23">
        <f t="shared" ref="N25:N35" si="11">K25</f>
        <v>1662.48</v>
      </c>
      <c r="O25" s="22">
        <f>158.33+158.33+158.31+158.33</f>
        <v>633.30000000000007</v>
      </c>
      <c r="P25" s="24">
        <f>28.8*4</f>
        <v>115.2</v>
      </c>
      <c r="Q25" s="25">
        <f t="shared" ref="Q25:Q35" si="12">P25</f>
        <v>115.2</v>
      </c>
      <c r="R25" s="68">
        <v>119.72</v>
      </c>
      <c r="S25" s="23">
        <f t="shared" ref="S25:S35" si="13">K25</f>
        <v>1662.48</v>
      </c>
      <c r="T25" s="70">
        <f t="shared" si="7"/>
        <v>728.64</v>
      </c>
      <c r="U25" s="57">
        <v>596.32000000000005</v>
      </c>
      <c r="V25" s="112">
        <f t="shared" si="8"/>
        <v>11973.84</v>
      </c>
      <c r="W25" s="53"/>
      <c r="X25" s="38">
        <f t="shared" si="9"/>
        <v>7900.38</v>
      </c>
      <c r="Y25" s="72">
        <f>1146+1046.01+1046.01+1046.01</f>
        <v>4284.0300000000007</v>
      </c>
      <c r="Z25" s="56">
        <f t="shared" ref="Z25:Z35" si="14">X25-Y25</f>
        <v>3616.3499999999995</v>
      </c>
    </row>
    <row r="26" spans="1:28" x14ac:dyDescent="0.25">
      <c r="A26" s="141" t="s">
        <v>11</v>
      </c>
      <c r="B26" s="7" t="s">
        <v>12</v>
      </c>
      <c r="C26" s="134">
        <f>L17+O35+N54+N149</f>
        <v>2217.0400000000004</v>
      </c>
      <c r="D26" s="84"/>
      <c r="F26" s="19" t="s">
        <v>25</v>
      </c>
      <c r="G26" s="22">
        <f>2760*5</f>
        <v>13800</v>
      </c>
      <c r="H26" s="68">
        <v>0</v>
      </c>
      <c r="I26" s="23">
        <v>0</v>
      </c>
      <c r="J26" s="24">
        <v>0</v>
      </c>
      <c r="K26" s="38">
        <f t="shared" si="6"/>
        <v>1662.48</v>
      </c>
      <c r="L26" s="41">
        <f t="shared" si="10"/>
        <v>1400</v>
      </c>
      <c r="M26" s="23">
        <f>182.16*5</f>
        <v>910.8</v>
      </c>
      <c r="N26" s="23">
        <f t="shared" si="11"/>
        <v>1662.48</v>
      </c>
      <c r="O26" s="122">
        <f>158.33+158.33+158.33+232.6+158.3</f>
        <v>865.8900000000001</v>
      </c>
      <c r="P26" s="24">
        <f>28.8*4+27.6</f>
        <v>142.80000000000001</v>
      </c>
      <c r="Q26" s="25">
        <f t="shared" si="12"/>
        <v>142.80000000000001</v>
      </c>
      <c r="R26" s="68">
        <v>145.5</v>
      </c>
      <c r="S26" s="23">
        <f t="shared" si="13"/>
        <v>1662.48</v>
      </c>
      <c r="T26" s="70">
        <f t="shared" si="7"/>
        <v>910.8</v>
      </c>
      <c r="U26" s="57">
        <v>596.32000000000005</v>
      </c>
      <c r="V26" s="112">
        <f t="shared" si="8"/>
        <v>14551.68</v>
      </c>
      <c r="W26" s="53"/>
      <c r="X26" s="38">
        <f t="shared" si="9"/>
        <v>10218.029999999999</v>
      </c>
      <c r="Y26" s="72">
        <f>2377.81+1399.55+1399.53+1993.65+1146.01</f>
        <v>8316.5499999999993</v>
      </c>
      <c r="Z26" s="56">
        <f t="shared" si="14"/>
        <v>1901.4799999999996</v>
      </c>
      <c r="AA26" s="1" t="s">
        <v>50</v>
      </c>
      <c r="AB26" s="1">
        <v>500</v>
      </c>
    </row>
    <row r="27" spans="1:28" ht="15.75" thickBot="1" x14ac:dyDescent="0.3">
      <c r="A27" s="141"/>
      <c r="B27" s="8" t="s">
        <v>13</v>
      </c>
      <c r="C27" s="135">
        <f>(M17+P35+O54+O73+O92+O111+O130+O149+O168+O187)*2</f>
        <v>1016.9799999999999</v>
      </c>
      <c r="D27" s="84"/>
      <c r="F27" s="19" t="s">
        <v>26</v>
      </c>
      <c r="G27" s="22">
        <f>2760*4</f>
        <v>11040</v>
      </c>
      <c r="H27" s="68">
        <v>0</v>
      </c>
      <c r="I27" s="23">
        <v>0</v>
      </c>
      <c r="J27" s="24">
        <v>0</v>
      </c>
      <c r="K27" s="38">
        <f t="shared" si="6"/>
        <v>1662.48</v>
      </c>
      <c r="L27" s="41">
        <f t="shared" si="10"/>
        <v>1400</v>
      </c>
      <c r="M27" s="23">
        <f>182.16*4</f>
        <v>728.64</v>
      </c>
      <c r="N27" s="23">
        <f t="shared" si="11"/>
        <v>1662.48</v>
      </c>
      <c r="O27" s="22">
        <f>158.33+158.31+158.32+158.33</f>
        <v>633.29</v>
      </c>
      <c r="P27" s="24">
        <f>28.8*4</f>
        <v>115.2</v>
      </c>
      <c r="Q27" s="25">
        <f t="shared" si="12"/>
        <v>115.2</v>
      </c>
      <c r="R27" s="68">
        <v>119.72</v>
      </c>
      <c r="S27" s="23">
        <f t="shared" si="13"/>
        <v>1662.48</v>
      </c>
      <c r="T27" s="70">
        <f t="shared" si="7"/>
        <v>728.64</v>
      </c>
      <c r="U27" s="57">
        <v>596.32000000000005</v>
      </c>
      <c r="V27" s="112">
        <f t="shared" si="8"/>
        <v>11973.84</v>
      </c>
      <c r="W27" s="53"/>
      <c r="X27" s="38">
        <f t="shared" si="9"/>
        <v>7900.39</v>
      </c>
      <c r="Y27" s="72">
        <f>2078.45+2078.54+1399.52+1399.53</f>
        <v>6956.04</v>
      </c>
      <c r="Z27" s="56">
        <f t="shared" si="14"/>
        <v>944.35000000000036</v>
      </c>
    </row>
    <row r="28" spans="1:28" x14ac:dyDescent="0.25">
      <c r="F28" s="19" t="s">
        <v>27</v>
      </c>
      <c r="G28" s="22">
        <f>2760*5</f>
        <v>13800</v>
      </c>
      <c r="H28" s="68">
        <f>828+931.5+207</f>
        <v>1966.5</v>
      </c>
      <c r="I28" s="23">
        <v>0</v>
      </c>
      <c r="J28" s="24">
        <v>0</v>
      </c>
      <c r="K28" s="38">
        <f t="shared" si="6"/>
        <v>1662.48</v>
      </c>
      <c r="L28" s="41">
        <f t="shared" si="10"/>
        <v>1400</v>
      </c>
      <c r="M28" s="23">
        <f>182.16*5</f>
        <v>910.8</v>
      </c>
      <c r="N28" s="23">
        <f t="shared" si="11"/>
        <v>1662.48</v>
      </c>
      <c r="O28" s="22">
        <f>381.6+326.05+195.58+158.29+158.32</f>
        <v>1219.8400000000001</v>
      </c>
      <c r="P28" s="24">
        <f>28.8*5</f>
        <v>144</v>
      </c>
      <c r="Q28" s="25">
        <f t="shared" si="12"/>
        <v>144</v>
      </c>
      <c r="R28" s="68">
        <v>165.17</v>
      </c>
      <c r="S28" s="23">
        <f t="shared" si="13"/>
        <v>1662.48</v>
      </c>
      <c r="T28" s="70">
        <f t="shared" si="7"/>
        <v>910.8</v>
      </c>
      <c r="U28" s="57">
        <v>596.32000000000005</v>
      </c>
      <c r="V28" s="112">
        <f t="shared" si="8"/>
        <v>16518.18</v>
      </c>
      <c r="W28" s="53"/>
      <c r="X28" s="38">
        <f t="shared" si="9"/>
        <v>11829.380000000001</v>
      </c>
      <c r="Y28" s="72">
        <f>2078.52+1399.54+2078.5+2078.52</f>
        <v>7635.08</v>
      </c>
      <c r="Z28" s="56">
        <f t="shared" si="14"/>
        <v>4194.3000000000011</v>
      </c>
    </row>
    <row r="29" spans="1:28" x14ac:dyDescent="0.25">
      <c r="A29" s="1" t="s">
        <v>61</v>
      </c>
      <c r="F29" s="19" t="s">
        <v>28</v>
      </c>
      <c r="G29" s="22">
        <f>2760*4</f>
        <v>11040</v>
      </c>
      <c r="H29" s="68">
        <f>724.5+828+828+983.25</f>
        <v>3363.75</v>
      </c>
      <c r="I29" s="23">
        <v>0</v>
      </c>
      <c r="J29" s="24">
        <v>0</v>
      </c>
      <c r="K29" s="38">
        <f t="shared" si="6"/>
        <v>1662.48</v>
      </c>
      <c r="L29" s="41">
        <f t="shared" si="10"/>
        <v>1400</v>
      </c>
      <c r="M29" s="23">
        <f>182.16*4</f>
        <v>728.64</v>
      </c>
      <c r="N29" s="23">
        <f t="shared" si="11"/>
        <v>1662.48</v>
      </c>
      <c r="O29" s="22">
        <f>322.35+307.35+307.39+335.31</f>
        <v>1272.4000000000001</v>
      </c>
      <c r="P29" s="24">
        <f>28.8*4</f>
        <v>115.2</v>
      </c>
      <c r="Q29" s="25">
        <f t="shared" si="12"/>
        <v>115.2</v>
      </c>
      <c r="R29" s="68">
        <v>153.37</v>
      </c>
      <c r="S29" s="23">
        <f t="shared" si="13"/>
        <v>1662.48</v>
      </c>
      <c r="T29" s="70">
        <f t="shared" si="7"/>
        <v>728.64</v>
      </c>
      <c r="U29" s="57">
        <v>596.32000000000005</v>
      </c>
      <c r="V29" s="112">
        <f t="shared" si="8"/>
        <v>15337.59</v>
      </c>
      <c r="W29" s="53"/>
      <c r="X29" s="38">
        <f t="shared" si="9"/>
        <v>10625.03</v>
      </c>
      <c r="Y29" s="72">
        <f>2959.35+2028.1+2028.2+2028.17+2043.36</f>
        <v>11087.18</v>
      </c>
      <c r="Z29" s="56">
        <f t="shared" si="14"/>
        <v>-462.14999999999964</v>
      </c>
    </row>
    <row r="30" spans="1:28" x14ac:dyDescent="0.25">
      <c r="A30" s="1" t="s">
        <v>12</v>
      </c>
      <c r="C30" s="77">
        <f>C4+C6+C8+C10+C12+C14+C16+C18+C20+C22+C24+C26</f>
        <v>32178.29</v>
      </c>
      <c r="D30" s="77">
        <f>L18+O36+N55+N74+N93+N112+N131+N150+N169+N188</f>
        <v>32178.29</v>
      </c>
      <c r="F30" s="19" t="s">
        <v>29</v>
      </c>
      <c r="G30" s="22">
        <f>2760*4</f>
        <v>11040</v>
      </c>
      <c r="H30" s="68">
        <f>1449+1293.75+1138.5+258.75+740.03</f>
        <v>4880.03</v>
      </c>
      <c r="I30" s="23">
        <v>0</v>
      </c>
      <c r="J30" s="24">
        <v>0</v>
      </c>
      <c r="K30" s="38">
        <f t="shared" si="6"/>
        <v>1662.48</v>
      </c>
      <c r="L30" s="41">
        <f t="shared" si="10"/>
        <v>1400</v>
      </c>
      <c r="M30" s="23">
        <f>182.16*4</f>
        <v>728.64</v>
      </c>
      <c r="N30" s="23">
        <f t="shared" si="11"/>
        <v>1662.48</v>
      </c>
      <c r="O30" s="22">
        <f>693.09+469.17+430.49+210.47</f>
        <v>1803.22</v>
      </c>
      <c r="P30" s="24">
        <f>28.8*4</f>
        <v>115.2</v>
      </c>
      <c r="Q30" s="25">
        <f t="shared" si="12"/>
        <v>115.2</v>
      </c>
      <c r="R30" s="68">
        <v>168.53</v>
      </c>
      <c r="S30" s="23">
        <f t="shared" si="13"/>
        <v>1662.48</v>
      </c>
      <c r="T30" s="70">
        <f t="shared" si="7"/>
        <v>728.64</v>
      </c>
      <c r="U30" s="57">
        <v>596.32000000000005</v>
      </c>
      <c r="V30" s="112">
        <f t="shared" si="8"/>
        <v>16853.87</v>
      </c>
      <c r="W30" s="53"/>
      <c r="X30" s="38">
        <f t="shared" si="9"/>
        <v>11610.489999999998</v>
      </c>
      <c r="Y30" s="72">
        <f>3373.55+2028.29+2028.11+2028.16</f>
        <v>9458.11</v>
      </c>
      <c r="Z30" s="56">
        <f t="shared" si="14"/>
        <v>2152.3799999999974</v>
      </c>
    </row>
    <row r="31" spans="1:28" x14ac:dyDescent="0.25">
      <c r="A31" s="1" t="s">
        <v>13</v>
      </c>
      <c r="C31" s="77">
        <f>C5+C7+C9+C11+C13+C15+C17+C19+C21+C23+C25+C27</f>
        <v>14203.46</v>
      </c>
      <c r="D31" s="77">
        <f>M19+P37+O56+O75+O94+O113+O132+O151+O170+O189</f>
        <v>14203.460000000001</v>
      </c>
      <c r="F31" s="19" t="s">
        <v>30</v>
      </c>
      <c r="G31" s="22">
        <f>2760*5</f>
        <v>13800</v>
      </c>
      <c r="H31" s="68">
        <f>1293.75+828+1190.25+1293.75+1035</f>
        <v>5640.75</v>
      </c>
      <c r="I31" s="23">
        <v>0</v>
      </c>
      <c r="J31" s="24">
        <v>0</v>
      </c>
      <c r="K31" s="38">
        <f t="shared" si="6"/>
        <v>1662.48</v>
      </c>
      <c r="L31" s="41">
        <f>350*3+960.69</f>
        <v>2010.69</v>
      </c>
      <c r="M31" s="23">
        <f>182.16*5</f>
        <v>910.8</v>
      </c>
      <c r="N31" s="23">
        <f t="shared" si="11"/>
        <v>1662.48</v>
      </c>
      <c r="O31" s="22">
        <f>469.18+352.82+488.55+469.12+404.59</f>
        <v>2184.2600000000002</v>
      </c>
      <c r="P31" s="24">
        <f>28.8*5</f>
        <v>144</v>
      </c>
      <c r="Q31" s="25">
        <f t="shared" si="12"/>
        <v>144</v>
      </c>
      <c r="R31" s="68">
        <v>201.91</v>
      </c>
      <c r="S31" s="23">
        <f t="shared" si="13"/>
        <v>1662.48</v>
      </c>
      <c r="T31" s="70">
        <f t="shared" si="7"/>
        <v>910.8</v>
      </c>
      <c r="U31" s="57">
        <v>596.32000000000005</v>
      </c>
      <c r="V31" s="112">
        <f t="shared" si="8"/>
        <v>20192.43</v>
      </c>
      <c r="W31" s="53"/>
      <c r="X31" s="38">
        <f t="shared" si="9"/>
        <v>14539.21</v>
      </c>
      <c r="Y31" s="72">
        <f>2959.14+2299.92+2183.48+1989.33+2144.69</f>
        <v>11576.56</v>
      </c>
      <c r="Z31" s="56">
        <f t="shared" si="14"/>
        <v>2962.6499999999996</v>
      </c>
    </row>
    <row r="32" spans="1:28" x14ac:dyDescent="0.25">
      <c r="C32" s="77"/>
      <c r="D32" s="77"/>
      <c r="F32" s="19" t="s">
        <v>31</v>
      </c>
      <c r="G32" s="22">
        <f>2760*4</f>
        <v>11040</v>
      </c>
      <c r="H32" s="68">
        <f>828+828+828+2070</f>
        <v>4554</v>
      </c>
      <c r="I32" s="23">
        <v>0</v>
      </c>
      <c r="J32" s="24">
        <v>0</v>
      </c>
      <c r="K32" s="38">
        <f t="shared" si="6"/>
        <v>1662.48</v>
      </c>
      <c r="L32" s="41">
        <f>350*4</f>
        <v>1400</v>
      </c>
      <c r="M32" s="23">
        <f>182.16*4</f>
        <v>728.64</v>
      </c>
      <c r="N32" s="23">
        <f t="shared" si="11"/>
        <v>1662.48</v>
      </c>
      <c r="O32" s="22">
        <f>352.75+352.77+352.78+663.41</f>
        <v>1721.71</v>
      </c>
      <c r="P32" s="24">
        <f>28.8*4</f>
        <v>115.2</v>
      </c>
      <c r="Q32" s="25">
        <f t="shared" si="12"/>
        <v>115.2</v>
      </c>
      <c r="R32" s="68">
        <v>165.26</v>
      </c>
      <c r="S32" s="23">
        <f t="shared" si="13"/>
        <v>1662.48</v>
      </c>
      <c r="T32" s="70">
        <f t="shared" si="7"/>
        <v>728.64</v>
      </c>
      <c r="U32" s="57">
        <v>596.32000000000005</v>
      </c>
      <c r="V32" s="112">
        <f t="shared" si="8"/>
        <v>16527.84</v>
      </c>
      <c r="W32" s="53"/>
      <c r="X32" s="38">
        <f t="shared" si="9"/>
        <v>11365.970000000001</v>
      </c>
      <c r="Y32" s="72">
        <f>1872.95+2260.96+2338.7+2144.73</f>
        <v>8617.34</v>
      </c>
      <c r="Z32" s="56">
        <f t="shared" si="14"/>
        <v>2748.630000000001</v>
      </c>
    </row>
    <row r="33" spans="6:27" x14ac:dyDescent="0.25">
      <c r="F33" s="19" t="s">
        <v>32</v>
      </c>
      <c r="G33" s="22">
        <f>2760+2760</f>
        <v>5520</v>
      </c>
      <c r="H33" s="68">
        <v>828</v>
      </c>
      <c r="I33" s="23">
        <v>8280</v>
      </c>
      <c r="J33" s="24">
        <v>11955.12</v>
      </c>
      <c r="K33" s="38">
        <f>415.62+415.62</f>
        <v>831.24</v>
      </c>
      <c r="L33" s="41">
        <f>1400+350</f>
        <v>1750</v>
      </c>
      <c r="M33" s="23">
        <f>728.64+182.16</f>
        <v>910.8</v>
      </c>
      <c r="N33" s="23">
        <f>1662.48+415.62</f>
        <v>2078.1</v>
      </c>
      <c r="O33" s="122">
        <f>3707.57+352.77</f>
        <v>4060.34</v>
      </c>
      <c r="P33" s="123">
        <f>115.18+28.8</f>
        <v>143.98000000000002</v>
      </c>
      <c r="Q33" s="124">
        <f t="shared" si="12"/>
        <v>143.98000000000002</v>
      </c>
      <c r="R33" s="68">
        <v>269.19</v>
      </c>
      <c r="S33" s="23">
        <f>1662.48+415.62</f>
        <v>2078.1</v>
      </c>
      <c r="T33" s="70">
        <f t="shared" si="7"/>
        <v>910.8</v>
      </c>
      <c r="U33" s="57">
        <f>149.08+149.08</f>
        <v>298.16000000000003</v>
      </c>
      <c r="V33" s="53">
        <f>G33+K33-M33+J33+H33+I33</f>
        <v>26503.56</v>
      </c>
      <c r="W33" s="53"/>
      <c r="X33" s="38">
        <f t="shared" si="9"/>
        <v>19389.900000000001</v>
      </c>
      <c r="Y33" s="72">
        <f>888.8+350.41+13006.79+1872.84</f>
        <v>16118.84</v>
      </c>
      <c r="Z33" s="56">
        <f t="shared" si="14"/>
        <v>3271.0600000000013</v>
      </c>
    </row>
    <row r="34" spans="6:27" x14ac:dyDescent="0.25">
      <c r="F34" s="19" t="s">
        <v>33</v>
      </c>
      <c r="G34" s="22">
        <f>2760*4</f>
        <v>11040</v>
      </c>
      <c r="H34" s="68">
        <f>1138.5+1190.25</f>
        <v>2328.75</v>
      </c>
      <c r="I34" s="23">
        <v>0</v>
      </c>
      <c r="J34" s="24">
        <v>0</v>
      </c>
      <c r="K34" s="38">
        <f>1283.99</f>
        <v>1283.99</v>
      </c>
      <c r="L34" s="41">
        <f>350*3</f>
        <v>1050</v>
      </c>
      <c r="M34" s="23">
        <f>182.16*4</f>
        <v>728.64</v>
      </c>
      <c r="N34" s="23">
        <f t="shared" si="11"/>
        <v>1283.99</v>
      </c>
      <c r="O34" s="22">
        <f>312.88</f>
        <v>312.88</v>
      </c>
      <c r="P34" s="24">
        <f>28.8*4</f>
        <v>115.2</v>
      </c>
      <c r="Q34" s="25">
        <f t="shared" si="12"/>
        <v>115.2</v>
      </c>
      <c r="R34" s="68">
        <v>139.22999999999999</v>
      </c>
      <c r="S34" s="23">
        <f t="shared" si="13"/>
        <v>1283.99</v>
      </c>
      <c r="T34" s="70">
        <f t="shared" si="7"/>
        <v>728.64</v>
      </c>
      <c r="U34" s="57">
        <v>447.24</v>
      </c>
      <c r="V34" s="112">
        <f t="shared" si="8"/>
        <v>13924.1</v>
      </c>
      <c r="W34" s="53"/>
      <c r="X34" s="38">
        <f t="shared" si="9"/>
        <v>10928.04</v>
      </c>
      <c r="Y34" s="72">
        <f>2484.1+1533.42+1533.42+1533.42</f>
        <v>7084.3600000000006</v>
      </c>
      <c r="Z34" s="56">
        <f t="shared" si="14"/>
        <v>3843.6800000000003</v>
      </c>
      <c r="AA34" s="148"/>
    </row>
    <row r="35" spans="6:27" ht="15.75" thickBot="1" x14ac:dyDescent="0.3">
      <c r="F35" s="20" t="s">
        <v>34</v>
      </c>
      <c r="G35" s="26">
        <f>2760*4</f>
        <v>11040</v>
      </c>
      <c r="H35" s="69">
        <f>1138.5+1138.5</f>
        <v>2277</v>
      </c>
      <c r="I35" s="27">
        <v>0</v>
      </c>
      <c r="J35" s="28">
        <v>0</v>
      </c>
      <c r="K35" s="38">
        <f>452.75*4</f>
        <v>1811</v>
      </c>
      <c r="L35" s="43">
        <f>350*4</f>
        <v>1400</v>
      </c>
      <c r="M35" s="27">
        <f>182.16*4</f>
        <v>728.64</v>
      </c>
      <c r="N35" s="27">
        <f t="shared" si="11"/>
        <v>1811</v>
      </c>
      <c r="O35" s="26">
        <f>155.2+154.89+439.74+439.74</f>
        <v>1189.57</v>
      </c>
      <c r="P35" s="28">
        <f>28.8+28.8+28.8+28.8</f>
        <v>115.2</v>
      </c>
      <c r="Q35" s="65">
        <f t="shared" si="12"/>
        <v>115.2</v>
      </c>
      <c r="R35" s="69">
        <v>144</v>
      </c>
      <c r="S35" s="27">
        <f t="shared" si="13"/>
        <v>1811</v>
      </c>
      <c r="T35" s="70">
        <f t="shared" si="7"/>
        <v>728.64</v>
      </c>
      <c r="U35" s="57">
        <v>596.32000000000005</v>
      </c>
      <c r="V35" s="112">
        <f t="shared" si="8"/>
        <v>14399.36</v>
      </c>
      <c r="W35" s="53"/>
      <c r="X35" s="38">
        <f t="shared" si="9"/>
        <v>9472.59</v>
      </c>
      <c r="Y35" s="73">
        <f>1360.51+1360.6+1360.46+1360.33</f>
        <v>5441.9</v>
      </c>
      <c r="Z35" s="56">
        <f t="shared" si="14"/>
        <v>4030.6900000000005</v>
      </c>
      <c r="AA35" s="149"/>
    </row>
    <row r="36" spans="6:27" ht="15.75" thickBot="1" x14ac:dyDescent="0.3">
      <c r="G36" s="29">
        <f t="shared" ref="G36" si="15">SUM(G24:G35)</f>
        <v>135240</v>
      </c>
      <c r="H36" s="59">
        <f>SUM(H24:H35)</f>
        <v>25838.78</v>
      </c>
      <c r="I36" s="30">
        <f>SUM(I24:I35)</f>
        <v>8280</v>
      </c>
      <c r="J36" s="31">
        <f t="shared" ref="J36:T36" si="16">SUM(J24:J35)</f>
        <v>11955.12</v>
      </c>
      <c r="K36" s="96">
        <f t="shared" si="16"/>
        <v>18888.55</v>
      </c>
      <c r="L36" s="97">
        <f t="shared" si="16"/>
        <v>17410.690000000002</v>
      </c>
      <c r="M36" s="98">
        <f t="shared" si="16"/>
        <v>9472.32</v>
      </c>
      <c r="N36" s="99">
        <f t="shared" si="16"/>
        <v>20135.41</v>
      </c>
      <c r="O36" s="37">
        <f t="shared" si="16"/>
        <v>16576.280000000002</v>
      </c>
      <c r="P36" s="31">
        <f t="shared" si="16"/>
        <v>1496.3800000000003</v>
      </c>
      <c r="Q36" s="55">
        <f t="shared" si="16"/>
        <v>1496.3800000000003</v>
      </c>
      <c r="R36" s="30">
        <f t="shared" si="16"/>
        <v>1911.32</v>
      </c>
      <c r="S36" s="100">
        <f t="shared" si="16"/>
        <v>20135.41</v>
      </c>
      <c r="T36" s="97">
        <f t="shared" si="16"/>
        <v>9472.32</v>
      </c>
      <c r="U36" s="59">
        <f>SUM(U24:U35)</f>
        <v>6708.5999999999995</v>
      </c>
      <c r="V36" s="130">
        <f t="shared" ref="V36:X36" si="17">SUM(V24:V35)</f>
        <v>190730.13</v>
      </c>
      <c r="W36" s="116"/>
      <c r="X36" s="55">
        <f t="shared" si="17"/>
        <v>133633.50999999998</v>
      </c>
      <c r="Y36" s="74">
        <f>SUM(Y24:Y35)</f>
        <v>100960.01999999999</v>
      </c>
      <c r="Z36" s="75"/>
      <c r="AA36" s="77"/>
    </row>
    <row r="37" spans="6:27" ht="15.75" thickBot="1" x14ac:dyDescent="0.3">
      <c r="G37" s="150">
        <f>SUM(G36:H36)</f>
        <v>161078.78</v>
      </c>
      <c r="H37" s="151"/>
      <c r="I37" s="152">
        <f>SUM(I36:J36)</f>
        <v>20235.120000000003</v>
      </c>
      <c r="J37" s="153"/>
      <c r="K37" s="95">
        <v>3810</v>
      </c>
      <c r="N37" s="95">
        <v>4005</v>
      </c>
      <c r="O37" s="95">
        <v>4102</v>
      </c>
      <c r="P37" s="145">
        <f>SUM(P36:Q36)</f>
        <v>2992.7600000000007</v>
      </c>
      <c r="Q37" s="146"/>
      <c r="S37" s="95" t="s">
        <v>47</v>
      </c>
      <c r="U37" s="95">
        <v>4116</v>
      </c>
      <c r="V37" s="95">
        <v>3698</v>
      </c>
      <c r="W37" s="95"/>
    </row>
    <row r="38" spans="6:27" x14ac:dyDescent="0.25">
      <c r="G38" s="160">
        <v>3601</v>
      </c>
      <c r="H38" s="160"/>
      <c r="I38" s="161">
        <v>3605</v>
      </c>
      <c r="J38" s="161"/>
      <c r="P38" s="162">
        <v>4141</v>
      </c>
      <c r="Q38" s="162"/>
    </row>
    <row r="40" spans="6:27" ht="16.5" thickBot="1" x14ac:dyDescent="0.3">
      <c r="F40" s="46" t="s">
        <v>51</v>
      </c>
      <c r="G40" s="12"/>
      <c r="H40" s="12"/>
      <c r="I40" s="12"/>
    </row>
    <row r="41" spans="6:27" ht="16.5" thickBot="1" x14ac:dyDescent="0.3">
      <c r="F41" s="121"/>
      <c r="G41" s="142" t="s">
        <v>36</v>
      </c>
      <c r="H41" s="144"/>
      <c r="I41" s="144"/>
      <c r="J41" s="143"/>
      <c r="K41" s="142" t="s">
        <v>37</v>
      </c>
      <c r="L41" s="143"/>
      <c r="M41" s="142" t="s">
        <v>38</v>
      </c>
      <c r="N41" s="144"/>
      <c r="O41" s="143"/>
      <c r="P41" s="142" t="s">
        <v>41</v>
      </c>
      <c r="Q41" s="144"/>
      <c r="R41" s="143"/>
      <c r="S41" s="136" t="s">
        <v>39</v>
      </c>
      <c r="T41" s="91"/>
      <c r="U41" s="154" t="s">
        <v>42</v>
      </c>
      <c r="V41" s="156" t="s">
        <v>43</v>
      </c>
      <c r="W41" s="158" t="s">
        <v>44</v>
      </c>
    </row>
    <row r="42" spans="6:27" ht="16.5" customHeight="1" thickBot="1" x14ac:dyDescent="0.3">
      <c r="F42" s="45" t="s">
        <v>22</v>
      </c>
      <c r="G42" s="14" t="s">
        <v>18</v>
      </c>
      <c r="H42" s="76" t="s">
        <v>49</v>
      </c>
      <c r="I42" s="15" t="s">
        <v>48</v>
      </c>
      <c r="J42" s="35" t="s">
        <v>35</v>
      </c>
      <c r="K42" s="14" t="s">
        <v>20</v>
      </c>
      <c r="L42" s="16" t="s">
        <v>45</v>
      </c>
      <c r="M42" s="15" t="s">
        <v>19</v>
      </c>
      <c r="N42" s="36" t="s">
        <v>12</v>
      </c>
      <c r="O42" s="35" t="s">
        <v>13</v>
      </c>
      <c r="P42" s="93" t="s">
        <v>13</v>
      </c>
      <c r="Q42" s="88" t="s">
        <v>40</v>
      </c>
      <c r="R42" s="89" t="s">
        <v>19</v>
      </c>
      <c r="S42" s="137"/>
      <c r="T42" s="92"/>
      <c r="U42" s="155"/>
      <c r="V42" s="157"/>
      <c r="W42" s="159"/>
    </row>
    <row r="43" spans="6:27" x14ac:dyDescent="0.25">
      <c r="F43" s="18" t="s">
        <v>23</v>
      </c>
      <c r="G43" s="32">
        <f>1684.4*4</f>
        <v>6737.6</v>
      </c>
      <c r="H43" s="33">
        <v>0</v>
      </c>
      <c r="I43" s="33">
        <v>0</v>
      </c>
      <c r="J43" s="34">
        <v>0</v>
      </c>
      <c r="K43" s="38">
        <v>0</v>
      </c>
      <c r="L43" s="39">
        <f t="shared" ref="L43:L49" si="18">490*4</f>
        <v>1960</v>
      </c>
      <c r="M43" s="33">
        <v>0</v>
      </c>
      <c r="N43" s="32">
        <f>71.77+71.78+71.77+118.06</f>
        <v>333.38</v>
      </c>
      <c r="O43" s="34">
        <f>16.84*4</f>
        <v>67.36</v>
      </c>
      <c r="P43" s="86">
        <f t="shared" ref="P43:P54" si="19">O43</f>
        <v>67.36</v>
      </c>
      <c r="Q43" s="23">
        <v>67.36</v>
      </c>
      <c r="R43" s="70">
        <f t="shared" ref="R43:R54" si="20">M43</f>
        <v>0</v>
      </c>
      <c r="S43" s="112">
        <f t="shared" ref="S43:S54" si="21">G43-M43+J43+H43+I43</f>
        <v>6737.6</v>
      </c>
      <c r="T43" s="112"/>
      <c r="U43" s="38">
        <f t="shared" ref="U43:U54" si="22">SUM(G43:J43)-SUM(M43:O43)</f>
        <v>6336.8600000000006</v>
      </c>
      <c r="V43" s="71">
        <f>1165.35+1165.35+1165.35+1165.35</f>
        <v>4661.3999999999996</v>
      </c>
      <c r="W43" s="78">
        <f>U43-V43</f>
        <v>1675.4600000000009</v>
      </c>
    </row>
    <row r="44" spans="6:27" x14ac:dyDescent="0.25">
      <c r="F44" s="19" t="s">
        <v>24</v>
      </c>
      <c r="G44" s="22">
        <f>1684.4*4</f>
        <v>6737.6</v>
      </c>
      <c r="H44" s="68">
        <f>63.17</f>
        <v>63.17</v>
      </c>
      <c r="I44" s="23">
        <v>0</v>
      </c>
      <c r="J44" s="24">
        <v>0</v>
      </c>
      <c r="K44" s="38">
        <v>0</v>
      </c>
      <c r="L44" s="41">
        <f t="shared" si="18"/>
        <v>1960</v>
      </c>
      <c r="M44" s="23">
        <v>0</v>
      </c>
      <c r="N44" s="22">
        <f>83.13+71.77+71.77+71.77</f>
        <v>298.43999999999994</v>
      </c>
      <c r="O44" s="24">
        <f>17.48+16.84*3</f>
        <v>68</v>
      </c>
      <c r="P44" s="87">
        <f t="shared" si="19"/>
        <v>68</v>
      </c>
      <c r="Q44" s="23">
        <v>68</v>
      </c>
      <c r="R44" s="70">
        <f t="shared" si="20"/>
        <v>0</v>
      </c>
      <c r="S44" s="112">
        <f t="shared" si="21"/>
        <v>6800.77</v>
      </c>
      <c r="T44" s="53"/>
      <c r="U44" s="38">
        <f t="shared" si="22"/>
        <v>6434.3300000000008</v>
      </c>
      <c r="V44" s="72">
        <f>1165.35+1165.35+1165.36+1165.35</f>
        <v>4661.41</v>
      </c>
      <c r="W44" s="56">
        <f t="shared" ref="W44:W54" si="23">U44-V44</f>
        <v>1772.920000000001</v>
      </c>
    </row>
    <row r="45" spans="6:27" x14ac:dyDescent="0.25">
      <c r="F45" s="19" t="s">
        <v>25</v>
      </c>
      <c r="G45" s="22">
        <f>1684.4*5</f>
        <v>8422</v>
      </c>
      <c r="H45" s="68">
        <v>0</v>
      </c>
      <c r="I45" s="23">
        <v>0</v>
      </c>
      <c r="J45" s="24">
        <v>0</v>
      </c>
      <c r="K45" s="38">
        <v>0</v>
      </c>
      <c r="L45" s="41">
        <f t="shared" si="18"/>
        <v>1960</v>
      </c>
      <c r="M45" s="23">
        <v>0</v>
      </c>
      <c r="N45" s="122">
        <f>71.79+71.77+71.78+71.78+71.78</f>
        <v>358.9</v>
      </c>
      <c r="O45" s="123">
        <f>16.84*5</f>
        <v>84.2</v>
      </c>
      <c r="P45" s="126">
        <f t="shared" si="19"/>
        <v>84.2</v>
      </c>
      <c r="Q45" s="23"/>
      <c r="R45" s="70">
        <f t="shared" si="20"/>
        <v>0</v>
      </c>
      <c r="S45" s="53">
        <f>G45-M45+J45+H45+I45</f>
        <v>8422</v>
      </c>
      <c r="T45" s="53"/>
      <c r="U45" s="38">
        <f t="shared" si="22"/>
        <v>7978.9</v>
      </c>
      <c r="V45" s="72">
        <f>1265.33+1165.38+1243.81+1165.35+1165.35</f>
        <v>6005.2199999999993</v>
      </c>
      <c r="W45" s="56">
        <f t="shared" si="23"/>
        <v>1973.6800000000003</v>
      </c>
    </row>
    <row r="46" spans="6:27" x14ac:dyDescent="0.25">
      <c r="F46" s="19" t="s">
        <v>26</v>
      </c>
      <c r="G46" s="22">
        <f>1684.4*4</f>
        <v>6737.6</v>
      </c>
      <c r="H46" s="68">
        <v>0</v>
      </c>
      <c r="I46" s="23">
        <v>0</v>
      </c>
      <c r="J46" s="24">
        <v>0</v>
      </c>
      <c r="K46" s="38">
        <v>0</v>
      </c>
      <c r="L46" s="41">
        <f t="shared" si="18"/>
        <v>1960</v>
      </c>
      <c r="M46" s="23">
        <v>0</v>
      </c>
      <c r="N46" s="22">
        <f>71.76+71.78+71.79+71.73</f>
        <v>287.06000000000006</v>
      </c>
      <c r="O46" s="24">
        <f>16.84*4</f>
        <v>67.36</v>
      </c>
      <c r="P46" s="87">
        <f t="shared" si="19"/>
        <v>67.36</v>
      </c>
      <c r="Q46" s="23">
        <v>67.36</v>
      </c>
      <c r="R46" s="70">
        <f t="shared" si="20"/>
        <v>0</v>
      </c>
      <c r="S46" s="112">
        <f t="shared" si="21"/>
        <v>6737.6</v>
      </c>
      <c r="T46" s="53"/>
      <c r="U46" s="38">
        <f t="shared" si="22"/>
        <v>6383.18</v>
      </c>
      <c r="V46" s="72">
        <f>1165.37+1165.35+1165.35+1165.36</f>
        <v>4661.4299999999994</v>
      </c>
      <c r="W46" s="56">
        <f t="shared" si="23"/>
        <v>1721.7500000000009</v>
      </c>
    </row>
    <row r="47" spans="6:27" x14ac:dyDescent="0.25">
      <c r="F47" s="19" t="s">
        <v>27</v>
      </c>
      <c r="G47" s="22">
        <f>1684.4*5</f>
        <v>8422</v>
      </c>
      <c r="H47" s="68">
        <f>63.17</f>
        <v>63.17</v>
      </c>
      <c r="I47" s="23">
        <v>0</v>
      </c>
      <c r="J47" s="24">
        <v>0</v>
      </c>
      <c r="K47" s="38">
        <v>0</v>
      </c>
      <c r="L47" s="41">
        <f t="shared" si="18"/>
        <v>1960</v>
      </c>
      <c r="M47" s="23">
        <v>0</v>
      </c>
      <c r="N47" s="22">
        <f>71.73+83.15+71.78+71.8+71.76</f>
        <v>370.21999999999997</v>
      </c>
      <c r="O47" s="24">
        <f>16.84*4+17.48</f>
        <v>84.84</v>
      </c>
      <c r="P47" s="87">
        <f t="shared" si="19"/>
        <v>84.84</v>
      </c>
      <c r="Q47" s="23">
        <v>84.84</v>
      </c>
      <c r="R47" s="70">
        <f t="shared" si="20"/>
        <v>0</v>
      </c>
      <c r="S47" s="112">
        <f t="shared" si="21"/>
        <v>8485.17</v>
      </c>
      <c r="T47" s="53"/>
      <c r="U47" s="38">
        <f t="shared" si="22"/>
        <v>8030.1100000000006</v>
      </c>
      <c r="V47" s="72">
        <f>1065.35+1065.33+1165.36+1283.05</f>
        <v>4579.09</v>
      </c>
      <c r="W47" s="56">
        <f t="shared" si="23"/>
        <v>3451.0200000000004</v>
      </c>
    </row>
    <row r="48" spans="6:27" x14ac:dyDescent="0.25">
      <c r="F48" s="19" t="s">
        <v>28</v>
      </c>
      <c r="G48" s="22">
        <f>1684.4*4</f>
        <v>6737.6</v>
      </c>
      <c r="H48" s="68">
        <v>0</v>
      </c>
      <c r="I48" s="23">
        <v>0</v>
      </c>
      <c r="J48" s="24">
        <v>0</v>
      </c>
      <c r="K48" s="38">
        <v>0</v>
      </c>
      <c r="L48" s="41">
        <f t="shared" si="18"/>
        <v>1960</v>
      </c>
      <c r="M48" s="23">
        <v>0</v>
      </c>
      <c r="N48" s="22">
        <f>71.75+71.77+71.74+71.82</f>
        <v>287.08</v>
      </c>
      <c r="O48" s="24">
        <f>16.84*4</f>
        <v>67.36</v>
      </c>
      <c r="P48" s="87">
        <f t="shared" si="19"/>
        <v>67.36</v>
      </c>
      <c r="Q48" s="23">
        <v>67.36</v>
      </c>
      <c r="R48" s="70">
        <f t="shared" si="20"/>
        <v>0</v>
      </c>
      <c r="S48" s="112">
        <f t="shared" si="21"/>
        <v>6737.6</v>
      </c>
      <c r="T48" s="53"/>
      <c r="U48" s="38">
        <f t="shared" si="22"/>
        <v>6383.1600000000008</v>
      </c>
      <c r="V48" s="72">
        <f>1265.4+1165.34+1065.36+1065.35+1065.32</f>
        <v>5626.7699999999986</v>
      </c>
      <c r="W48" s="56">
        <f t="shared" si="23"/>
        <v>756.39000000000215</v>
      </c>
    </row>
    <row r="49" spans="6:23" x14ac:dyDescent="0.25">
      <c r="F49" s="19" t="s">
        <v>29</v>
      </c>
      <c r="G49" s="22">
        <f>1740*4</f>
        <v>6960</v>
      </c>
      <c r="H49" s="68">
        <f>466.54+32.63</f>
        <v>499.17</v>
      </c>
      <c r="I49" s="23">
        <v>0</v>
      </c>
      <c r="J49" s="24">
        <v>0</v>
      </c>
      <c r="K49" s="38">
        <v>0</v>
      </c>
      <c r="L49" s="41">
        <f t="shared" si="18"/>
        <v>1960</v>
      </c>
      <c r="M49" s="23">
        <v>0</v>
      </c>
      <c r="N49" s="22">
        <f>165.82+81.76+81.81+87.66</f>
        <v>417.04999999999995</v>
      </c>
      <c r="O49" s="24">
        <f>22.07+17.4+17.4+17.73</f>
        <v>74.599999999999994</v>
      </c>
      <c r="P49" s="87">
        <f t="shared" si="19"/>
        <v>74.599999999999994</v>
      </c>
      <c r="Q49" s="23">
        <v>74.599999999999994</v>
      </c>
      <c r="R49" s="70">
        <f t="shared" si="20"/>
        <v>0</v>
      </c>
      <c r="S49" s="112">
        <f t="shared" si="21"/>
        <v>7459.17</v>
      </c>
      <c r="T49" s="53"/>
      <c r="U49" s="38">
        <f t="shared" si="22"/>
        <v>6967.52</v>
      </c>
      <c r="V49" s="72">
        <f>1165.39+1165.4+1165.28+1165.35</f>
        <v>4661.42</v>
      </c>
      <c r="W49" s="56">
        <f t="shared" si="23"/>
        <v>2306.1000000000004</v>
      </c>
    </row>
    <row r="50" spans="6:23" x14ac:dyDescent="0.25">
      <c r="F50" s="19" t="s">
        <v>30</v>
      </c>
      <c r="G50" s="22">
        <f>1740*5</f>
        <v>8700</v>
      </c>
      <c r="H50" s="68">
        <f>587.25+97.88+130.5</f>
        <v>815.63</v>
      </c>
      <c r="I50" s="23">
        <v>0</v>
      </c>
      <c r="J50" s="24">
        <v>0</v>
      </c>
      <c r="K50" s="38">
        <v>0</v>
      </c>
      <c r="L50" s="41">
        <f>490*3-3.74</f>
        <v>1466.26</v>
      </c>
      <c r="M50" s="23">
        <v>0</v>
      </c>
      <c r="N50" s="22">
        <f>81.81+81.8+187.51+99.31+105.27</f>
        <v>555.70000000000005</v>
      </c>
      <c r="O50" s="24">
        <f>18.71+18.38+23.27+17.4+17.4</f>
        <v>95.16</v>
      </c>
      <c r="P50" s="87">
        <f t="shared" si="19"/>
        <v>95.16</v>
      </c>
      <c r="Q50" s="23">
        <v>95.16</v>
      </c>
      <c r="R50" s="70">
        <f t="shared" si="20"/>
        <v>0</v>
      </c>
      <c r="S50" s="112">
        <f t="shared" si="21"/>
        <v>9515.6299999999992</v>
      </c>
      <c r="T50" s="53"/>
      <c r="U50" s="38">
        <f t="shared" si="22"/>
        <v>8864.7699999999986</v>
      </c>
      <c r="V50" s="72">
        <f>1265.39+1165.32+1165.36+1165.38+1165.29</f>
        <v>5926.74</v>
      </c>
      <c r="W50" s="56">
        <f t="shared" si="23"/>
        <v>2938.0299999999988</v>
      </c>
    </row>
    <row r="51" spans="6:23" x14ac:dyDescent="0.25">
      <c r="F51" s="19" t="s">
        <v>31</v>
      </c>
      <c r="G51" s="22">
        <f>1740*4</f>
        <v>6960</v>
      </c>
      <c r="H51" s="68">
        <f>195.75</f>
        <v>195.75</v>
      </c>
      <c r="I51" s="23">
        <v>0</v>
      </c>
      <c r="J51" s="24">
        <v>0</v>
      </c>
      <c r="K51" s="38">
        <v>0</v>
      </c>
      <c r="L51" s="41">
        <f>490*4</f>
        <v>1960</v>
      </c>
      <c r="M51" s="23">
        <v>0</v>
      </c>
      <c r="N51" s="22">
        <f>81.81+81.81+81.7+117.01</f>
        <v>362.33</v>
      </c>
      <c r="O51" s="24">
        <f>19.36+17.4+17.4+17.4</f>
        <v>71.56</v>
      </c>
      <c r="P51" s="87">
        <f t="shared" si="19"/>
        <v>71.56</v>
      </c>
      <c r="Q51" s="23">
        <v>71.56</v>
      </c>
      <c r="R51" s="70">
        <f t="shared" si="20"/>
        <v>0</v>
      </c>
      <c r="S51" s="112">
        <f t="shared" si="21"/>
        <v>7155.75</v>
      </c>
      <c r="T51" s="53"/>
      <c r="U51" s="38">
        <f t="shared" si="22"/>
        <v>6721.86</v>
      </c>
      <c r="V51" s="72">
        <f>1165.41+1065.35+1065.29+1065.35</f>
        <v>4361.3999999999996</v>
      </c>
      <c r="W51" s="56">
        <f t="shared" si="23"/>
        <v>2360.46</v>
      </c>
    </row>
    <row r="52" spans="6:23" x14ac:dyDescent="0.25">
      <c r="F52" s="19" t="s">
        <v>32</v>
      </c>
      <c r="G52" s="22">
        <f>1740+1740</f>
        <v>3480</v>
      </c>
      <c r="H52" s="68">
        <v>522</v>
      </c>
      <c r="I52" s="23">
        <v>5220</v>
      </c>
      <c r="J52" s="24">
        <v>7536.93</v>
      </c>
      <c r="K52" s="38">
        <v>0</v>
      </c>
      <c r="L52" s="41">
        <f>490+1960</f>
        <v>2450</v>
      </c>
      <c r="M52" s="23">
        <v>0</v>
      </c>
      <c r="N52" s="122">
        <f>1683.8+175.68</f>
        <v>1859.48</v>
      </c>
      <c r="O52" s="24">
        <f>22.62+115.18</f>
        <v>137.80000000000001</v>
      </c>
      <c r="P52" s="87">
        <f t="shared" si="19"/>
        <v>137.80000000000001</v>
      </c>
      <c r="Q52" s="23">
        <v>167.59</v>
      </c>
      <c r="R52" s="70">
        <f t="shared" si="20"/>
        <v>0</v>
      </c>
      <c r="S52" s="112">
        <f t="shared" si="21"/>
        <v>16758.93</v>
      </c>
      <c r="T52" s="53"/>
      <c r="U52" s="38">
        <f t="shared" si="22"/>
        <v>14761.65</v>
      </c>
      <c r="V52" s="72">
        <f>96.87+7778.61+1165.34</f>
        <v>9040.82</v>
      </c>
      <c r="W52" s="56">
        <f t="shared" si="23"/>
        <v>5720.83</v>
      </c>
    </row>
    <row r="53" spans="6:23" x14ac:dyDescent="0.25">
      <c r="F53" s="19" t="s">
        <v>33</v>
      </c>
      <c r="G53" s="22">
        <f>1740*4</f>
        <v>6960</v>
      </c>
      <c r="H53" s="68">
        <v>0</v>
      </c>
      <c r="I53" s="23">
        <v>0</v>
      </c>
      <c r="J53" s="24">
        <v>0</v>
      </c>
      <c r="K53" s="38">
        <v>0</v>
      </c>
      <c r="L53" s="41">
        <f>490*3</f>
        <v>1470</v>
      </c>
      <c r="M53" s="23">
        <v>0</v>
      </c>
      <c r="N53" s="22">
        <f>81.74+81.76+81.78-381.12</f>
        <v>-135.84</v>
      </c>
      <c r="O53" s="24">
        <f>17.4*4</f>
        <v>69.599999999999994</v>
      </c>
      <c r="P53" s="87">
        <f t="shared" si="19"/>
        <v>69.599999999999994</v>
      </c>
      <c r="Q53" s="23">
        <v>69.599999999999994</v>
      </c>
      <c r="R53" s="70">
        <f t="shared" si="20"/>
        <v>0</v>
      </c>
      <c r="S53" s="112">
        <f t="shared" si="21"/>
        <v>6960</v>
      </c>
      <c r="T53" s="53"/>
      <c r="U53" s="38">
        <f t="shared" si="22"/>
        <v>7026.24</v>
      </c>
      <c r="V53" s="72">
        <f>1165.38+1065.42+1065.3+1047.88</f>
        <v>4343.9800000000005</v>
      </c>
      <c r="W53" s="56">
        <f t="shared" si="23"/>
        <v>2682.2599999999993</v>
      </c>
    </row>
    <row r="54" spans="6:23" ht="15.75" thickBot="1" x14ac:dyDescent="0.3">
      <c r="F54" s="20" t="s">
        <v>34</v>
      </c>
      <c r="G54" s="26">
        <f>1740*4</f>
        <v>6960</v>
      </c>
      <c r="H54" s="69">
        <v>0</v>
      </c>
      <c r="I54" s="27">
        <v>0</v>
      </c>
      <c r="J54" s="28">
        <v>0</v>
      </c>
      <c r="K54" s="38">
        <v>0</v>
      </c>
      <c r="L54" s="43">
        <f>490*4</f>
        <v>1960</v>
      </c>
      <c r="M54" s="27">
        <v>0</v>
      </c>
      <c r="N54" s="26">
        <f>81.79+81.76+81.75+81.9</f>
        <v>327.20000000000005</v>
      </c>
      <c r="O54" s="28">
        <f>17.4*4</f>
        <v>69.599999999999994</v>
      </c>
      <c r="P54" s="80">
        <f t="shared" si="19"/>
        <v>69.599999999999994</v>
      </c>
      <c r="Q54" s="27">
        <v>69.599999999999994</v>
      </c>
      <c r="R54" s="70">
        <f t="shared" si="20"/>
        <v>0</v>
      </c>
      <c r="S54" s="112">
        <f t="shared" si="21"/>
        <v>6960</v>
      </c>
      <c r="T54" s="115"/>
      <c r="U54" s="42">
        <f t="shared" si="22"/>
        <v>6563.2</v>
      </c>
      <c r="V54" s="73">
        <f>1065.39+1114.31+1065.31+1065.35</f>
        <v>4310.3599999999997</v>
      </c>
      <c r="W54" s="56">
        <f t="shared" si="23"/>
        <v>2252.84</v>
      </c>
    </row>
    <row r="55" spans="6:23" ht="15.75" thickBot="1" x14ac:dyDescent="0.3">
      <c r="G55" s="29">
        <f t="shared" ref="G55" si="24">SUM(G43:G54)</f>
        <v>83814.399999999994</v>
      </c>
      <c r="H55" s="59">
        <f>SUM(H43:H54)</f>
        <v>2158.89</v>
      </c>
      <c r="I55" s="30">
        <v>0</v>
      </c>
      <c r="J55" s="31">
        <f t="shared" ref="J55:U55" si="25">SUM(J43:J54)</f>
        <v>7536.93</v>
      </c>
      <c r="K55" s="29">
        <f t="shared" si="25"/>
        <v>0</v>
      </c>
      <c r="L55" s="44">
        <f t="shared" si="25"/>
        <v>23026.260000000002</v>
      </c>
      <c r="M55" s="98">
        <f t="shared" si="25"/>
        <v>0</v>
      </c>
      <c r="N55" s="37">
        <f t="shared" si="25"/>
        <v>5320.9999999999991</v>
      </c>
      <c r="O55" s="31">
        <f t="shared" si="25"/>
        <v>957.44</v>
      </c>
      <c r="P55" s="81">
        <f t="shared" si="25"/>
        <v>957.44</v>
      </c>
      <c r="Q55" s="30">
        <f t="shared" si="25"/>
        <v>903.03000000000009</v>
      </c>
      <c r="R55" s="102">
        <f t="shared" si="25"/>
        <v>0</v>
      </c>
      <c r="S55" s="101">
        <f t="shared" si="25"/>
        <v>98730.22</v>
      </c>
      <c r="T55" s="116"/>
      <c r="U55" s="103">
        <f t="shared" si="25"/>
        <v>92451.780000000013</v>
      </c>
      <c r="V55" s="104">
        <f>SUM(V43:V54)</f>
        <v>62840.04</v>
      </c>
      <c r="W55" s="75"/>
    </row>
    <row r="56" spans="6:23" ht="15.75" thickBot="1" x14ac:dyDescent="0.3">
      <c r="G56" s="150">
        <f>SUM(G55:H55)</f>
        <v>85973.29</v>
      </c>
      <c r="H56" s="151"/>
      <c r="I56" s="152">
        <f>SUM(I55:J55)</f>
        <v>7536.93</v>
      </c>
      <c r="J56" s="153"/>
      <c r="K56" s="95">
        <v>3810</v>
      </c>
      <c r="N56" s="95">
        <v>4102</v>
      </c>
      <c r="O56" s="145">
        <f>SUM(O55:P55)</f>
        <v>1914.88</v>
      </c>
      <c r="P56" s="146"/>
      <c r="S56" s="95">
        <v>3698</v>
      </c>
      <c r="T56" s="95"/>
    </row>
    <row r="57" spans="6:23" x14ac:dyDescent="0.25">
      <c r="G57" s="160">
        <v>3601</v>
      </c>
      <c r="H57" s="160"/>
      <c r="I57" s="161">
        <v>3605</v>
      </c>
      <c r="J57" s="161"/>
      <c r="O57" s="162">
        <v>4141</v>
      </c>
      <c r="P57" s="162"/>
    </row>
    <row r="59" spans="6:23" ht="16.5" thickBot="1" x14ac:dyDescent="0.3">
      <c r="F59" s="46" t="s">
        <v>53</v>
      </c>
      <c r="G59" s="12"/>
      <c r="H59" s="12"/>
      <c r="I59" s="12"/>
    </row>
    <row r="60" spans="6:23" ht="16.5" thickBot="1" x14ac:dyDescent="0.3">
      <c r="F60" s="121" t="s">
        <v>63</v>
      </c>
      <c r="G60" s="142" t="s">
        <v>36</v>
      </c>
      <c r="H60" s="144"/>
      <c r="I60" s="144"/>
      <c r="J60" s="143"/>
      <c r="K60" s="142" t="s">
        <v>37</v>
      </c>
      <c r="L60" s="143"/>
      <c r="M60" s="142" t="s">
        <v>38</v>
      </c>
      <c r="N60" s="144"/>
      <c r="O60" s="143"/>
      <c r="P60" s="142" t="s">
        <v>41</v>
      </c>
      <c r="Q60" s="144"/>
      <c r="R60" s="143"/>
      <c r="S60" s="136" t="s">
        <v>39</v>
      </c>
      <c r="T60" s="91"/>
      <c r="U60" s="154" t="s">
        <v>42</v>
      </c>
      <c r="V60" s="156" t="s">
        <v>43</v>
      </c>
      <c r="W60" s="158" t="s">
        <v>44</v>
      </c>
    </row>
    <row r="61" spans="6:23" ht="16.5" customHeight="1" thickBot="1" x14ac:dyDescent="0.3">
      <c r="F61" s="45" t="s">
        <v>22</v>
      </c>
      <c r="G61" s="14" t="s">
        <v>18</v>
      </c>
      <c r="H61" s="76" t="s">
        <v>49</v>
      </c>
      <c r="I61" s="15" t="s">
        <v>48</v>
      </c>
      <c r="J61" s="35" t="s">
        <v>35</v>
      </c>
      <c r="K61" s="14" t="s">
        <v>20</v>
      </c>
      <c r="L61" s="16" t="s">
        <v>45</v>
      </c>
      <c r="M61" s="15" t="s">
        <v>19</v>
      </c>
      <c r="N61" s="36" t="s">
        <v>12</v>
      </c>
      <c r="O61" s="35" t="s">
        <v>13</v>
      </c>
      <c r="P61" s="93" t="s">
        <v>13</v>
      </c>
      <c r="Q61" s="88" t="s">
        <v>40</v>
      </c>
      <c r="R61" s="16" t="s">
        <v>19</v>
      </c>
      <c r="S61" s="137"/>
      <c r="T61" s="92"/>
      <c r="U61" s="155"/>
      <c r="V61" s="157"/>
      <c r="W61" s="159"/>
    </row>
    <row r="62" spans="6:23" x14ac:dyDescent="0.25">
      <c r="F62" s="18" t="s">
        <v>23</v>
      </c>
      <c r="G62" s="32">
        <f>760*4</f>
        <v>3040</v>
      </c>
      <c r="H62" s="57">
        <v>0</v>
      </c>
      <c r="I62" s="33">
        <v>0</v>
      </c>
      <c r="J62" s="34">
        <v>0</v>
      </c>
      <c r="K62" s="38">
        <v>0</v>
      </c>
      <c r="L62" s="39">
        <f>50*4</f>
        <v>200</v>
      </c>
      <c r="M62" s="33">
        <f>50.16*4</f>
        <v>200.64</v>
      </c>
      <c r="N62" s="32">
        <v>0</v>
      </c>
      <c r="O62" s="34">
        <f>7.6*4</f>
        <v>30.4</v>
      </c>
      <c r="P62" s="86">
        <f t="shared" ref="P62:P73" si="26">O62</f>
        <v>30.4</v>
      </c>
      <c r="Q62" s="21"/>
      <c r="R62" s="39">
        <f t="shared" ref="R62:R73" si="27">M62</f>
        <v>200.64</v>
      </c>
      <c r="S62" s="113">
        <f t="shared" ref="S62:S69" si="28">G62+K62-M62</f>
        <v>2839.36</v>
      </c>
      <c r="T62" s="53"/>
      <c r="U62" s="38">
        <f t="shared" ref="U62:U73" si="29">SUM(G62:J62)+L62-SUM(M62:O62)</f>
        <v>3008.96</v>
      </c>
      <c r="V62" s="71">
        <f>647.28*2+547.28*2</f>
        <v>2389.12</v>
      </c>
      <c r="W62" s="78">
        <f>U62-V62</f>
        <v>619.84000000000015</v>
      </c>
    </row>
    <row r="63" spans="6:23" x14ac:dyDescent="0.25">
      <c r="F63" s="19" t="s">
        <v>24</v>
      </c>
      <c r="G63" s="22">
        <f>760*4</f>
        <v>3040</v>
      </c>
      <c r="H63" s="68">
        <v>0</v>
      </c>
      <c r="I63" s="23">
        <v>0</v>
      </c>
      <c r="J63" s="24">
        <v>0</v>
      </c>
      <c r="K63" s="38">
        <v>0</v>
      </c>
      <c r="L63" s="41">
        <f>50*4</f>
        <v>200</v>
      </c>
      <c r="M63" s="23">
        <f>50.16*4</f>
        <v>200.64</v>
      </c>
      <c r="N63" s="22">
        <v>0</v>
      </c>
      <c r="O63" s="24">
        <f>7.6*4</f>
        <v>30.4</v>
      </c>
      <c r="P63" s="87">
        <f t="shared" si="26"/>
        <v>30.4</v>
      </c>
      <c r="Q63" s="33"/>
      <c r="R63" s="39">
        <f t="shared" si="27"/>
        <v>200.64</v>
      </c>
      <c r="S63" s="113">
        <f t="shared" si="28"/>
        <v>2839.36</v>
      </c>
      <c r="T63" s="53"/>
      <c r="U63" s="38">
        <f t="shared" si="29"/>
        <v>3008.96</v>
      </c>
      <c r="V63" s="72">
        <f>647.28*4</f>
        <v>2589.12</v>
      </c>
      <c r="W63" s="56">
        <f t="shared" ref="W63:W73" si="30">U63-V63</f>
        <v>419.84000000000015</v>
      </c>
    </row>
    <row r="64" spans="6:23" x14ac:dyDescent="0.25">
      <c r="F64" s="19" t="s">
        <v>25</v>
      </c>
      <c r="G64" s="22">
        <f>760*5</f>
        <v>3800</v>
      </c>
      <c r="H64" s="68">
        <v>0</v>
      </c>
      <c r="I64" s="23">
        <v>0</v>
      </c>
      <c r="J64" s="24">
        <v>0</v>
      </c>
      <c r="K64" s="38">
        <v>0</v>
      </c>
      <c r="L64" s="41">
        <f>50*5</f>
        <v>250</v>
      </c>
      <c r="M64" s="23">
        <f>50.16*5</f>
        <v>250.79999999999998</v>
      </c>
      <c r="N64" s="22">
        <v>0</v>
      </c>
      <c r="O64" s="24">
        <f>7.6*5</f>
        <v>38</v>
      </c>
      <c r="P64" s="87">
        <f t="shared" si="26"/>
        <v>38</v>
      </c>
      <c r="Q64" s="33"/>
      <c r="R64" s="39">
        <f t="shared" si="27"/>
        <v>250.79999999999998</v>
      </c>
      <c r="S64" s="113">
        <f t="shared" si="28"/>
        <v>3549.2</v>
      </c>
      <c r="T64" s="53"/>
      <c r="U64" s="38">
        <f t="shared" si="29"/>
        <v>3761.2</v>
      </c>
      <c r="V64" s="72">
        <f>647.28*5</f>
        <v>3236.3999999999996</v>
      </c>
      <c r="W64" s="56">
        <f t="shared" si="30"/>
        <v>524.80000000000018</v>
      </c>
    </row>
    <row r="65" spans="6:23" x14ac:dyDescent="0.25">
      <c r="F65" s="19" t="s">
        <v>26</v>
      </c>
      <c r="G65" s="22">
        <f>760*4</f>
        <v>3040</v>
      </c>
      <c r="H65" s="68">
        <v>0</v>
      </c>
      <c r="I65" s="23">
        <v>0</v>
      </c>
      <c r="J65" s="24">
        <v>0</v>
      </c>
      <c r="K65" s="38">
        <v>0</v>
      </c>
      <c r="L65" s="41">
        <f>50*4</f>
        <v>200</v>
      </c>
      <c r="M65" s="23">
        <f>50.16*4</f>
        <v>200.64</v>
      </c>
      <c r="N65" s="22">
        <v>0</v>
      </c>
      <c r="O65" s="24">
        <f>7.6*4</f>
        <v>30.4</v>
      </c>
      <c r="P65" s="87">
        <f t="shared" si="26"/>
        <v>30.4</v>
      </c>
      <c r="Q65" s="33"/>
      <c r="R65" s="39">
        <f t="shared" si="27"/>
        <v>200.64</v>
      </c>
      <c r="S65" s="113">
        <f t="shared" si="28"/>
        <v>2839.36</v>
      </c>
      <c r="T65" s="53"/>
      <c r="U65" s="38">
        <f t="shared" si="29"/>
        <v>3008.96</v>
      </c>
      <c r="V65" s="72">
        <f>647.28*4</f>
        <v>2589.12</v>
      </c>
      <c r="W65" s="56">
        <f t="shared" si="30"/>
        <v>419.84000000000015</v>
      </c>
    </row>
    <row r="66" spans="6:23" x14ac:dyDescent="0.25">
      <c r="F66" s="19" t="s">
        <v>27</v>
      </c>
      <c r="G66" s="22">
        <f>760*5</f>
        <v>3800</v>
      </c>
      <c r="H66" s="68">
        <v>0</v>
      </c>
      <c r="I66" s="23">
        <v>0</v>
      </c>
      <c r="J66" s="24">
        <v>0</v>
      </c>
      <c r="K66" s="38">
        <v>0</v>
      </c>
      <c r="L66" s="41">
        <f>50*5</f>
        <v>250</v>
      </c>
      <c r="M66" s="23">
        <f>50.16*5</f>
        <v>250.79999999999998</v>
      </c>
      <c r="N66" s="22">
        <v>0</v>
      </c>
      <c r="O66" s="24">
        <f>7.6*5</f>
        <v>38</v>
      </c>
      <c r="P66" s="87">
        <f t="shared" si="26"/>
        <v>38</v>
      </c>
      <c r="Q66" s="33"/>
      <c r="R66" s="39">
        <f t="shared" si="27"/>
        <v>250.79999999999998</v>
      </c>
      <c r="S66" s="113">
        <f t="shared" si="28"/>
        <v>3549.2</v>
      </c>
      <c r="T66" s="53"/>
      <c r="U66" s="38">
        <f t="shared" si="29"/>
        <v>3761.2</v>
      </c>
      <c r="V66" s="72">
        <f>547.28+647.28+647.28+647.28</f>
        <v>2489.12</v>
      </c>
      <c r="W66" s="56">
        <f t="shared" si="30"/>
        <v>1272.08</v>
      </c>
    </row>
    <row r="67" spans="6:23" x14ac:dyDescent="0.25">
      <c r="F67" s="19" t="s">
        <v>28</v>
      </c>
      <c r="G67" s="22">
        <f>760*4</f>
        <v>3040</v>
      </c>
      <c r="H67" s="68">
        <v>0</v>
      </c>
      <c r="I67" s="23">
        <v>0</v>
      </c>
      <c r="J67" s="24">
        <v>0</v>
      </c>
      <c r="K67" s="38">
        <v>0</v>
      </c>
      <c r="L67" s="41">
        <f>50*4</f>
        <v>200</v>
      </c>
      <c r="M67" s="23">
        <f>50.16*4</f>
        <v>200.64</v>
      </c>
      <c r="N67" s="22">
        <v>0</v>
      </c>
      <c r="O67" s="24">
        <f>7.6*4</f>
        <v>30.4</v>
      </c>
      <c r="P67" s="87">
        <f t="shared" si="26"/>
        <v>30.4</v>
      </c>
      <c r="Q67" s="33"/>
      <c r="R67" s="39">
        <f t="shared" si="27"/>
        <v>200.64</v>
      </c>
      <c r="S67" s="113">
        <f t="shared" si="28"/>
        <v>2839.36</v>
      </c>
      <c r="T67" s="53"/>
      <c r="U67" s="38">
        <f t="shared" si="29"/>
        <v>3008.96</v>
      </c>
      <c r="V67" s="72">
        <f>689.74*4+652.24</f>
        <v>3411.2</v>
      </c>
      <c r="W67" s="56">
        <f t="shared" si="30"/>
        <v>-402.23999999999978</v>
      </c>
    </row>
    <row r="68" spans="6:23" x14ac:dyDescent="0.25">
      <c r="F68" s="19" t="s">
        <v>29</v>
      </c>
      <c r="G68" s="22">
        <f>760*4</f>
        <v>3040</v>
      </c>
      <c r="H68" s="68">
        <v>0</v>
      </c>
      <c r="I68" s="23">
        <v>0</v>
      </c>
      <c r="J68" s="24">
        <v>0</v>
      </c>
      <c r="K68" s="38">
        <v>0</v>
      </c>
      <c r="L68" s="41">
        <f>50*4</f>
        <v>200</v>
      </c>
      <c r="M68" s="23">
        <f>50.16*4</f>
        <v>200.64</v>
      </c>
      <c r="N68" s="22">
        <v>0</v>
      </c>
      <c r="O68" s="24">
        <f>7.6*4</f>
        <v>30.4</v>
      </c>
      <c r="P68" s="87">
        <f t="shared" si="26"/>
        <v>30.4</v>
      </c>
      <c r="Q68" s="33"/>
      <c r="R68" s="39">
        <f t="shared" si="27"/>
        <v>200.64</v>
      </c>
      <c r="S68" s="113">
        <f t="shared" si="28"/>
        <v>2839.36</v>
      </c>
      <c r="T68" s="53"/>
      <c r="U68" s="38">
        <f t="shared" si="29"/>
        <v>3008.96</v>
      </c>
      <c r="V68" s="72">
        <f>689.74+689.74+689.74+689.74</f>
        <v>2758.96</v>
      </c>
      <c r="W68" s="56">
        <f t="shared" si="30"/>
        <v>250</v>
      </c>
    </row>
    <row r="69" spans="6:23" x14ac:dyDescent="0.25">
      <c r="F69" s="19" t="s">
        <v>30</v>
      </c>
      <c r="G69" s="22">
        <f>760*5</f>
        <v>3800</v>
      </c>
      <c r="H69" s="68">
        <v>0</v>
      </c>
      <c r="I69" s="23">
        <v>0</v>
      </c>
      <c r="J69" s="24">
        <v>0</v>
      </c>
      <c r="K69" s="38">
        <v>0</v>
      </c>
      <c r="L69" s="41">
        <f>50*5</f>
        <v>250</v>
      </c>
      <c r="M69" s="23">
        <f>50.16*5</f>
        <v>250.79999999999998</v>
      </c>
      <c r="N69" s="22">
        <v>0</v>
      </c>
      <c r="O69" s="24">
        <f>7.6*5</f>
        <v>38</v>
      </c>
      <c r="P69" s="87">
        <f t="shared" si="26"/>
        <v>38</v>
      </c>
      <c r="Q69" s="33"/>
      <c r="R69" s="39">
        <f t="shared" si="27"/>
        <v>250.79999999999998</v>
      </c>
      <c r="S69" s="113">
        <f t="shared" si="28"/>
        <v>3549.2</v>
      </c>
      <c r="T69" s="53"/>
      <c r="U69" s="38">
        <f t="shared" si="29"/>
        <v>3761.2</v>
      </c>
      <c r="V69" s="72">
        <f>689.74*5</f>
        <v>3448.7</v>
      </c>
      <c r="W69" s="56">
        <f t="shared" si="30"/>
        <v>312.5</v>
      </c>
    </row>
    <row r="70" spans="6:23" x14ac:dyDescent="0.25">
      <c r="F70" s="19" t="s">
        <v>31</v>
      </c>
      <c r="G70" s="22">
        <f>760*4</f>
        <v>3040</v>
      </c>
      <c r="H70" s="68">
        <v>42.75</v>
      </c>
      <c r="I70" s="23">
        <v>0</v>
      </c>
      <c r="J70" s="24">
        <v>0</v>
      </c>
      <c r="K70" s="38">
        <v>0</v>
      </c>
      <c r="L70" s="41">
        <f>50*4</f>
        <v>200</v>
      </c>
      <c r="M70" s="23">
        <f>50.16*4</f>
        <v>200.64</v>
      </c>
      <c r="N70" s="22">
        <v>0</v>
      </c>
      <c r="O70" s="24">
        <f>8.03+7.6*3</f>
        <v>30.83</v>
      </c>
      <c r="P70" s="87">
        <f t="shared" si="26"/>
        <v>30.83</v>
      </c>
      <c r="Q70" s="33"/>
      <c r="R70" s="39">
        <f t="shared" si="27"/>
        <v>200.64</v>
      </c>
      <c r="S70" s="113">
        <f>G70+H70+K70-M70</f>
        <v>2882.11</v>
      </c>
      <c r="T70" s="53"/>
      <c r="U70" s="38">
        <f t="shared" si="29"/>
        <v>3051.28</v>
      </c>
      <c r="V70" s="72">
        <f>489.74+489.74+489.74+689.74</f>
        <v>2158.96</v>
      </c>
      <c r="W70" s="56">
        <f t="shared" si="30"/>
        <v>892.32000000000016</v>
      </c>
    </row>
    <row r="71" spans="6:23" x14ac:dyDescent="0.25">
      <c r="F71" s="19" t="s">
        <v>32</v>
      </c>
      <c r="G71" s="22">
        <f>760*2</f>
        <v>1520</v>
      </c>
      <c r="H71" s="68">
        <v>0</v>
      </c>
      <c r="I71" s="23">
        <v>3040</v>
      </c>
      <c r="J71" s="24">
        <v>3291.99</v>
      </c>
      <c r="K71" s="38">
        <v>0</v>
      </c>
      <c r="L71" s="41">
        <f>50+50</f>
        <v>100</v>
      </c>
      <c r="M71" s="23">
        <f>200.64+50.16</f>
        <v>250.79999999999998</v>
      </c>
      <c r="N71" s="22">
        <v>0</v>
      </c>
      <c r="O71" s="24">
        <f>7.6+70.92</f>
        <v>78.52</v>
      </c>
      <c r="P71" s="87">
        <f t="shared" si="26"/>
        <v>78.52</v>
      </c>
      <c r="Q71" s="33"/>
      <c r="R71" s="39">
        <f t="shared" si="27"/>
        <v>250.79999999999998</v>
      </c>
      <c r="S71" s="113">
        <f>G71+K71+I71+J71-M71</f>
        <v>7601.19</v>
      </c>
      <c r="T71" s="53"/>
      <c r="U71" s="38">
        <f t="shared" si="29"/>
        <v>7622.67</v>
      </c>
      <c r="V71" s="72">
        <f>5575.65+689.74</f>
        <v>6265.3899999999994</v>
      </c>
      <c r="W71" s="56">
        <f t="shared" si="30"/>
        <v>1357.2800000000007</v>
      </c>
    </row>
    <row r="72" spans="6:23" x14ac:dyDescent="0.25">
      <c r="F72" s="19" t="s">
        <v>33</v>
      </c>
      <c r="G72" s="22">
        <f>760*4</f>
        <v>3040</v>
      </c>
      <c r="H72" s="68">
        <v>0</v>
      </c>
      <c r="I72" s="23">
        <v>0</v>
      </c>
      <c r="J72" s="24">
        <v>0</v>
      </c>
      <c r="K72" s="38">
        <v>0</v>
      </c>
      <c r="L72" s="41">
        <f>50*4</f>
        <v>200</v>
      </c>
      <c r="M72" s="23">
        <f>50.16*4</f>
        <v>200.64</v>
      </c>
      <c r="N72" s="22">
        <v>0</v>
      </c>
      <c r="O72" s="24">
        <f>7.6*4</f>
        <v>30.4</v>
      </c>
      <c r="P72" s="87">
        <f t="shared" si="26"/>
        <v>30.4</v>
      </c>
      <c r="Q72" s="23"/>
      <c r="R72" s="39">
        <f t="shared" si="27"/>
        <v>200.64</v>
      </c>
      <c r="S72" s="113">
        <f>G72+K72-M72</f>
        <v>2839.36</v>
      </c>
      <c r="T72" s="53"/>
      <c r="U72" s="38">
        <f t="shared" si="29"/>
        <v>3008.96</v>
      </c>
      <c r="V72" s="72">
        <f>652.24+652.24+689.74+689.74</f>
        <v>2683.96</v>
      </c>
      <c r="W72" s="56">
        <f t="shared" si="30"/>
        <v>325</v>
      </c>
    </row>
    <row r="73" spans="6:23" ht="15.75" thickBot="1" x14ac:dyDescent="0.3">
      <c r="F73" s="20" t="s">
        <v>34</v>
      </c>
      <c r="G73" s="26">
        <f>760*4</f>
        <v>3040</v>
      </c>
      <c r="H73" s="69">
        <v>0</v>
      </c>
      <c r="I73" s="27">
        <v>0</v>
      </c>
      <c r="J73" s="28">
        <v>0</v>
      </c>
      <c r="K73" s="38">
        <v>0</v>
      </c>
      <c r="L73" s="43">
        <f>50*4</f>
        <v>200</v>
      </c>
      <c r="M73" s="27">
        <f>50.16*4</f>
        <v>200.64</v>
      </c>
      <c r="N73" s="26">
        <v>0</v>
      </c>
      <c r="O73" s="28">
        <f>7.6*4</f>
        <v>30.4</v>
      </c>
      <c r="P73" s="80">
        <f t="shared" si="26"/>
        <v>30.4</v>
      </c>
      <c r="Q73" s="66"/>
      <c r="R73" s="39">
        <f t="shared" si="27"/>
        <v>200.64</v>
      </c>
      <c r="S73" s="112">
        <f>G73+K73-M73</f>
        <v>2839.36</v>
      </c>
      <c r="T73" s="115"/>
      <c r="U73" s="42">
        <f t="shared" si="29"/>
        <v>3008.96</v>
      </c>
      <c r="V73" s="73">
        <f>652.24+652.24+652.24+652.24</f>
        <v>2608.96</v>
      </c>
      <c r="W73" s="56">
        <f t="shared" si="30"/>
        <v>400</v>
      </c>
    </row>
    <row r="74" spans="6:23" ht="15.75" thickBot="1" x14ac:dyDescent="0.3">
      <c r="G74" s="29">
        <f t="shared" ref="G74" si="31">SUM(G62:G73)</f>
        <v>37240</v>
      </c>
      <c r="H74" s="59">
        <f>SUM(H62:H73)</f>
        <v>42.75</v>
      </c>
      <c r="I74" s="30">
        <f>SUM(I62:I73)</f>
        <v>3040</v>
      </c>
      <c r="J74" s="31">
        <f t="shared" ref="J74:U74" si="32">SUM(J62:J73)</f>
        <v>3291.99</v>
      </c>
      <c r="K74" s="29">
        <f t="shared" si="32"/>
        <v>0</v>
      </c>
      <c r="L74" s="44">
        <f t="shared" si="32"/>
        <v>2450</v>
      </c>
      <c r="M74" s="30">
        <f t="shared" si="32"/>
        <v>2608.3199999999997</v>
      </c>
      <c r="N74" s="37">
        <f t="shared" si="32"/>
        <v>0</v>
      </c>
      <c r="O74" s="31">
        <f t="shared" si="32"/>
        <v>436.14999999999992</v>
      </c>
      <c r="P74" s="81">
        <f t="shared" si="32"/>
        <v>436.14999999999992</v>
      </c>
      <c r="Q74" s="30">
        <f t="shared" si="32"/>
        <v>0</v>
      </c>
      <c r="R74" s="44">
        <f t="shared" si="32"/>
        <v>2608.3199999999997</v>
      </c>
      <c r="S74" s="54">
        <f t="shared" si="32"/>
        <v>41006.420000000006</v>
      </c>
      <c r="T74" s="117"/>
      <c r="U74" s="55">
        <f t="shared" si="32"/>
        <v>43020.27</v>
      </c>
      <c r="V74" s="74">
        <f>SUM(V62:V73)</f>
        <v>36629.009999999995</v>
      </c>
      <c r="W74" s="75"/>
    </row>
    <row r="75" spans="6:23" ht="15.75" thickBot="1" x14ac:dyDescent="0.3">
      <c r="G75" s="150">
        <f>SUM(G74:H74)</f>
        <v>37282.75</v>
      </c>
      <c r="H75" s="151"/>
      <c r="I75" s="152">
        <f>SUM(I74:J74)</f>
        <v>6331.99</v>
      </c>
      <c r="J75" s="153"/>
      <c r="K75" s="95">
        <v>3810</v>
      </c>
      <c r="N75" s="95">
        <v>4102</v>
      </c>
      <c r="O75" s="145">
        <f>SUM(O74:P74)</f>
        <v>872.29999999999984</v>
      </c>
      <c r="P75" s="146"/>
      <c r="S75" s="95">
        <v>3698</v>
      </c>
      <c r="T75" s="95"/>
    </row>
    <row r="76" spans="6:23" x14ac:dyDescent="0.25">
      <c r="G76" s="160">
        <v>3601</v>
      </c>
      <c r="H76" s="160"/>
      <c r="I76" s="161">
        <v>3605</v>
      </c>
      <c r="J76" s="161"/>
      <c r="O76" s="162">
        <v>4141</v>
      </c>
      <c r="P76" s="162"/>
    </row>
    <row r="78" spans="6:23" ht="16.5" thickBot="1" x14ac:dyDescent="0.3">
      <c r="F78" s="46" t="s">
        <v>54</v>
      </c>
      <c r="G78" s="12"/>
      <c r="H78" s="12"/>
      <c r="I78" s="12"/>
    </row>
    <row r="79" spans="6:23" ht="16.5" thickBot="1" x14ac:dyDescent="0.3">
      <c r="F79" s="121" t="s">
        <v>63</v>
      </c>
      <c r="G79" s="142" t="s">
        <v>36</v>
      </c>
      <c r="H79" s="144"/>
      <c r="I79" s="144"/>
      <c r="J79" s="143"/>
      <c r="K79" s="142" t="s">
        <v>37</v>
      </c>
      <c r="L79" s="143"/>
      <c r="M79" s="142" t="s">
        <v>38</v>
      </c>
      <c r="N79" s="144"/>
      <c r="O79" s="143"/>
      <c r="P79" s="142" t="s">
        <v>41</v>
      </c>
      <c r="Q79" s="144"/>
      <c r="R79" s="143"/>
      <c r="S79" s="136" t="s">
        <v>39</v>
      </c>
      <c r="T79" s="91"/>
      <c r="U79" s="154" t="s">
        <v>42</v>
      </c>
      <c r="V79" s="156" t="s">
        <v>43</v>
      </c>
      <c r="W79" s="158" t="s">
        <v>44</v>
      </c>
    </row>
    <row r="80" spans="6:23" ht="15.75" thickBot="1" x14ac:dyDescent="0.3">
      <c r="F80" s="45" t="s">
        <v>22</v>
      </c>
      <c r="G80" s="14" t="s">
        <v>18</v>
      </c>
      <c r="H80" s="76" t="s">
        <v>49</v>
      </c>
      <c r="I80" s="15" t="s">
        <v>48</v>
      </c>
      <c r="J80" s="35" t="s">
        <v>35</v>
      </c>
      <c r="K80" s="14" t="s">
        <v>20</v>
      </c>
      <c r="L80" s="16" t="s">
        <v>45</v>
      </c>
      <c r="M80" s="15" t="s">
        <v>19</v>
      </c>
      <c r="N80" s="36" t="s">
        <v>12</v>
      </c>
      <c r="O80" s="35" t="s">
        <v>13</v>
      </c>
      <c r="P80" s="93" t="s">
        <v>13</v>
      </c>
      <c r="Q80" s="88" t="s">
        <v>40</v>
      </c>
      <c r="R80" s="16" t="s">
        <v>19</v>
      </c>
      <c r="S80" s="137"/>
      <c r="T80" s="92"/>
      <c r="U80" s="155"/>
      <c r="V80" s="157"/>
      <c r="W80" s="159"/>
    </row>
    <row r="81" spans="6:23" x14ac:dyDescent="0.25">
      <c r="F81" s="18" t="s">
        <v>23</v>
      </c>
      <c r="G81" s="32">
        <f>960*4</f>
        <v>3840</v>
      </c>
      <c r="H81" s="57">
        <v>0</v>
      </c>
      <c r="I81" s="33">
        <v>0</v>
      </c>
      <c r="J81" s="34">
        <v>0</v>
      </c>
      <c r="K81" s="38">
        <v>0</v>
      </c>
      <c r="L81" s="39">
        <f>50*4</f>
        <v>200</v>
      </c>
      <c r="M81" s="33">
        <f>63.36*4</f>
        <v>253.44</v>
      </c>
      <c r="N81" s="32">
        <v>0</v>
      </c>
      <c r="O81" s="34">
        <f>9.6*4</f>
        <v>38.4</v>
      </c>
      <c r="P81" s="127">
        <f t="shared" ref="P81:P92" si="33">O81</f>
        <v>38.4</v>
      </c>
      <c r="Q81" s="128"/>
      <c r="R81" s="39">
        <f t="shared" ref="R81:R92" si="34">M81</f>
        <v>253.44</v>
      </c>
      <c r="S81" s="113">
        <f>G81+K81-M81</f>
        <v>3586.56</v>
      </c>
      <c r="T81" s="53"/>
      <c r="U81" s="38">
        <f t="shared" ref="U81:U92" si="35">SUM(G81:J81)+L81-SUM(M81:O81)</f>
        <v>3748.16</v>
      </c>
      <c r="V81" s="71">
        <f>937.04*4</f>
        <v>3748.16</v>
      </c>
      <c r="W81" s="78">
        <f>U81-V81</f>
        <v>0</v>
      </c>
    </row>
    <row r="82" spans="6:23" x14ac:dyDescent="0.25">
      <c r="F82" s="19" t="s">
        <v>24</v>
      </c>
      <c r="G82" s="22">
        <f>960*4</f>
        <v>3840</v>
      </c>
      <c r="H82" s="68">
        <v>0</v>
      </c>
      <c r="I82" s="23">
        <v>0</v>
      </c>
      <c r="J82" s="24">
        <v>0</v>
      </c>
      <c r="K82" s="38">
        <v>0</v>
      </c>
      <c r="L82" s="41">
        <f>50*4</f>
        <v>200</v>
      </c>
      <c r="M82" s="23">
        <f>63.36*4</f>
        <v>253.44</v>
      </c>
      <c r="N82" s="22">
        <v>0</v>
      </c>
      <c r="O82" s="24">
        <f>9.6*4</f>
        <v>38.4</v>
      </c>
      <c r="P82" s="87">
        <f t="shared" si="33"/>
        <v>38.4</v>
      </c>
      <c r="Q82" s="23"/>
      <c r="R82" s="39">
        <f t="shared" si="34"/>
        <v>253.44</v>
      </c>
      <c r="S82" s="113">
        <f>G82+K82-M82</f>
        <v>3586.56</v>
      </c>
      <c r="T82" s="53"/>
      <c r="U82" s="38">
        <f t="shared" si="35"/>
        <v>3748.16</v>
      </c>
      <c r="V82" s="72">
        <f>937.04*4</f>
        <v>3748.16</v>
      </c>
      <c r="W82" s="56">
        <f t="shared" ref="W82:W92" si="36">U82-V82</f>
        <v>0</v>
      </c>
    </row>
    <row r="83" spans="6:23" x14ac:dyDescent="0.25">
      <c r="F83" s="19" t="s">
        <v>25</v>
      </c>
      <c r="G83" s="22">
        <f>960*5</f>
        <v>4800</v>
      </c>
      <c r="H83" s="68">
        <v>0</v>
      </c>
      <c r="I83" s="23">
        <v>0</v>
      </c>
      <c r="J83" s="24">
        <v>0</v>
      </c>
      <c r="K83" s="38">
        <v>0</v>
      </c>
      <c r="L83" s="41">
        <f>50*5</f>
        <v>250</v>
      </c>
      <c r="M83" s="23">
        <f>63.36*5</f>
        <v>316.8</v>
      </c>
      <c r="N83" s="22">
        <v>0</v>
      </c>
      <c r="O83" s="24">
        <f>9.6*5</f>
        <v>48</v>
      </c>
      <c r="P83" s="114">
        <f t="shared" si="33"/>
        <v>48</v>
      </c>
      <c r="Q83" s="129"/>
      <c r="R83" s="39">
        <f t="shared" si="34"/>
        <v>316.8</v>
      </c>
      <c r="S83" s="113">
        <f>G83+K83-M83</f>
        <v>4483.2</v>
      </c>
      <c r="T83" s="53"/>
      <c r="U83" s="38">
        <f t="shared" si="35"/>
        <v>4685.2</v>
      </c>
      <c r="V83" s="72">
        <f>937.04*5</f>
        <v>4685.2</v>
      </c>
      <c r="W83" s="56">
        <f t="shared" si="36"/>
        <v>0</v>
      </c>
    </row>
    <row r="84" spans="6:23" x14ac:dyDescent="0.25">
      <c r="F84" s="19" t="s">
        <v>26</v>
      </c>
      <c r="G84" s="22">
        <f>960*4</f>
        <v>3840</v>
      </c>
      <c r="H84" s="68">
        <v>0</v>
      </c>
      <c r="I84" s="23">
        <v>0</v>
      </c>
      <c r="J84" s="24">
        <v>0</v>
      </c>
      <c r="K84" s="38">
        <v>0</v>
      </c>
      <c r="L84" s="41">
        <f>50*4</f>
        <v>200</v>
      </c>
      <c r="M84" s="23">
        <f>63.36*4</f>
        <v>253.44</v>
      </c>
      <c r="N84" s="22">
        <v>0</v>
      </c>
      <c r="O84" s="24">
        <f>9.6*4</f>
        <v>38.4</v>
      </c>
      <c r="P84" s="87">
        <f t="shared" si="33"/>
        <v>38.4</v>
      </c>
      <c r="Q84" s="23"/>
      <c r="R84" s="39">
        <f t="shared" si="34"/>
        <v>253.44</v>
      </c>
      <c r="S84" s="113">
        <f>G84+K84-M84</f>
        <v>3586.56</v>
      </c>
      <c r="T84" s="53"/>
      <c r="U84" s="38">
        <f t="shared" si="35"/>
        <v>3748.16</v>
      </c>
      <c r="V84" s="72">
        <f>937.04*4</f>
        <v>3748.16</v>
      </c>
      <c r="W84" s="56">
        <f t="shared" si="36"/>
        <v>0</v>
      </c>
    </row>
    <row r="85" spans="6:23" x14ac:dyDescent="0.25">
      <c r="F85" s="19" t="s">
        <v>27</v>
      </c>
      <c r="G85" s="22">
        <f>960*5</f>
        <v>4800</v>
      </c>
      <c r="H85" s="68">
        <v>0</v>
      </c>
      <c r="I85" s="23">
        <v>0</v>
      </c>
      <c r="J85" s="24">
        <v>0</v>
      </c>
      <c r="K85" s="38">
        <v>0</v>
      </c>
      <c r="L85" s="41">
        <f>50*5</f>
        <v>250</v>
      </c>
      <c r="M85" s="23">
        <f>63.36*5</f>
        <v>316.8</v>
      </c>
      <c r="N85" s="22">
        <v>0</v>
      </c>
      <c r="O85" s="24">
        <f>9.6*5</f>
        <v>48</v>
      </c>
      <c r="P85" s="114">
        <f t="shared" si="33"/>
        <v>48</v>
      </c>
      <c r="Q85" s="129"/>
      <c r="R85" s="39">
        <f t="shared" si="34"/>
        <v>316.8</v>
      </c>
      <c r="S85" s="113">
        <f>G85+K85-M85</f>
        <v>4483.2</v>
      </c>
      <c r="T85" s="53"/>
      <c r="U85" s="38">
        <f t="shared" si="35"/>
        <v>4685.2</v>
      </c>
      <c r="V85" s="72">
        <f>937.04*4</f>
        <v>3748.16</v>
      </c>
      <c r="W85" s="56">
        <f t="shared" si="36"/>
        <v>937.04</v>
      </c>
    </row>
    <row r="86" spans="6:23" x14ac:dyDescent="0.25">
      <c r="F86" s="19" t="s">
        <v>28</v>
      </c>
      <c r="G86" s="22">
        <f>960*4</f>
        <v>3840</v>
      </c>
      <c r="H86" s="68">
        <v>0</v>
      </c>
      <c r="I86" s="23">
        <v>0</v>
      </c>
      <c r="J86" s="24">
        <v>0</v>
      </c>
      <c r="K86" s="38">
        <v>0</v>
      </c>
      <c r="L86" s="41">
        <f>50*4</f>
        <v>200</v>
      </c>
      <c r="M86" s="23">
        <f>63.36*4</f>
        <v>253.44</v>
      </c>
      <c r="N86" s="22">
        <v>0</v>
      </c>
      <c r="O86" s="24">
        <f>9.6*4</f>
        <v>38.4</v>
      </c>
      <c r="P86" s="87">
        <f t="shared" si="33"/>
        <v>38.4</v>
      </c>
      <c r="Q86" s="23"/>
      <c r="R86" s="39">
        <f t="shared" si="34"/>
        <v>253.44</v>
      </c>
      <c r="S86" s="113">
        <f>G86+H86+K86-M86</f>
        <v>3586.56</v>
      </c>
      <c r="T86" s="53"/>
      <c r="U86" s="38">
        <f t="shared" si="35"/>
        <v>3748.16</v>
      </c>
      <c r="V86" s="72">
        <f>1222.16*2+937.04*3</f>
        <v>5255.4400000000005</v>
      </c>
      <c r="W86" s="56">
        <f t="shared" si="36"/>
        <v>-1507.2800000000007</v>
      </c>
    </row>
    <row r="87" spans="6:23" x14ac:dyDescent="0.25">
      <c r="F87" s="19" t="s">
        <v>29</v>
      </c>
      <c r="G87" s="22">
        <f>960*4</f>
        <v>3840</v>
      </c>
      <c r="H87" s="68">
        <f>288+288</f>
        <v>576</v>
      </c>
      <c r="I87" s="23">
        <v>0</v>
      </c>
      <c r="J87" s="24">
        <v>0</v>
      </c>
      <c r="K87" s="38">
        <v>0</v>
      </c>
      <c r="L87" s="41">
        <f>50*4</f>
        <v>200</v>
      </c>
      <c r="M87" s="23">
        <f>63.36*4</f>
        <v>253.44</v>
      </c>
      <c r="N87" s="22">
        <v>0</v>
      </c>
      <c r="O87" s="24">
        <f>12.48+12.48+9.6*2</f>
        <v>44.16</v>
      </c>
      <c r="P87" s="114">
        <f t="shared" si="33"/>
        <v>44.16</v>
      </c>
      <c r="Q87" s="129"/>
      <c r="R87" s="39">
        <f t="shared" si="34"/>
        <v>253.44</v>
      </c>
      <c r="S87" s="113">
        <f>G87+K87-M87+H87</f>
        <v>4162.5599999999995</v>
      </c>
      <c r="T87" s="53"/>
      <c r="U87" s="38">
        <f t="shared" si="35"/>
        <v>4318.3999999999996</v>
      </c>
      <c r="V87" s="72">
        <f>1222.16*3+937.04</f>
        <v>4603.5200000000004</v>
      </c>
      <c r="W87" s="56">
        <f t="shared" si="36"/>
        <v>-285.1200000000008</v>
      </c>
    </row>
    <row r="88" spans="6:23" x14ac:dyDescent="0.25">
      <c r="F88" s="19" t="s">
        <v>30</v>
      </c>
      <c r="G88" s="22">
        <f>960*5</f>
        <v>4800</v>
      </c>
      <c r="H88" s="68">
        <v>0</v>
      </c>
      <c r="I88" s="23">
        <v>0</v>
      </c>
      <c r="J88" s="24">
        <v>0</v>
      </c>
      <c r="K88" s="38">
        <v>0</v>
      </c>
      <c r="L88" s="41">
        <f>50*5</f>
        <v>250</v>
      </c>
      <c r="M88" s="23">
        <f>63.36*5</f>
        <v>316.8</v>
      </c>
      <c r="N88" s="22">
        <v>0</v>
      </c>
      <c r="O88" s="24">
        <f>9.6*5</f>
        <v>48</v>
      </c>
      <c r="P88" s="87">
        <f t="shared" si="33"/>
        <v>48</v>
      </c>
      <c r="Q88" s="23"/>
      <c r="R88" s="39">
        <f t="shared" si="34"/>
        <v>316.8</v>
      </c>
      <c r="S88" s="113">
        <f>G88+K88-M88</f>
        <v>4483.2</v>
      </c>
      <c r="T88" s="53"/>
      <c r="U88" s="38">
        <f t="shared" si="35"/>
        <v>4685.2</v>
      </c>
      <c r="V88" s="72">
        <f>937.04*5</f>
        <v>4685.2</v>
      </c>
      <c r="W88" s="56">
        <f t="shared" si="36"/>
        <v>0</v>
      </c>
    </row>
    <row r="89" spans="6:23" x14ac:dyDescent="0.25">
      <c r="F89" s="19" t="s">
        <v>31</v>
      </c>
      <c r="G89" s="22">
        <f>960*4</f>
        <v>3840</v>
      </c>
      <c r="H89" s="68">
        <v>0</v>
      </c>
      <c r="I89" s="23">
        <v>0</v>
      </c>
      <c r="J89" s="24">
        <v>0</v>
      </c>
      <c r="K89" s="38">
        <v>0</v>
      </c>
      <c r="L89" s="41">
        <f>50*4</f>
        <v>200</v>
      </c>
      <c r="M89" s="23">
        <f>63.36*4</f>
        <v>253.44</v>
      </c>
      <c r="N89" s="22">
        <v>0</v>
      </c>
      <c r="O89" s="24">
        <f>9.6*4</f>
        <v>38.4</v>
      </c>
      <c r="P89" s="114">
        <f t="shared" si="33"/>
        <v>38.4</v>
      </c>
      <c r="Q89" s="129"/>
      <c r="R89" s="39">
        <f t="shared" si="34"/>
        <v>253.44</v>
      </c>
      <c r="S89" s="113">
        <f>G89+K89-M89</f>
        <v>3586.56</v>
      </c>
      <c r="T89" s="53"/>
      <c r="U89" s="38">
        <f t="shared" si="35"/>
        <v>3748.16</v>
      </c>
      <c r="V89" s="72">
        <f>937.04*4</f>
        <v>3748.16</v>
      </c>
      <c r="W89" s="56">
        <f t="shared" si="36"/>
        <v>0</v>
      </c>
    </row>
    <row r="90" spans="6:23" x14ac:dyDescent="0.25">
      <c r="F90" s="19" t="s">
        <v>32</v>
      </c>
      <c r="G90" s="22">
        <f>960*2</f>
        <v>1920</v>
      </c>
      <c r="H90" s="68">
        <v>36</v>
      </c>
      <c r="I90" s="23">
        <v>3840</v>
      </c>
      <c r="J90" s="24">
        <v>4158.3</v>
      </c>
      <c r="K90" s="38">
        <v>0</v>
      </c>
      <c r="L90" s="41">
        <f>50*2</f>
        <v>100</v>
      </c>
      <c r="M90" s="23">
        <f>253.44+63.36</f>
        <v>316.8</v>
      </c>
      <c r="N90" s="22">
        <v>0</v>
      </c>
      <c r="O90" s="24">
        <f>9.6+89.94</f>
        <v>99.539999999999992</v>
      </c>
      <c r="P90" s="87">
        <f t="shared" si="33"/>
        <v>99.539999999999992</v>
      </c>
      <c r="Q90" s="23"/>
      <c r="R90" s="39">
        <f t="shared" si="34"/>
        <v>316.8</v>
      </c>
      <c r="S90" s="113">
        <f>G90+H90+K90+I90+J90-M90</f>
        <v>9637.5</v>
      </c>
      <c r="T90" s="53"/>
      <c r="U90" s="38">
        <f t="shared" si="35"/>
        <v>9637.9599999999991</v>
      </c>
      <c r="V90" s="72">
        <f>7514.76+937.04</f>
        <v>8451.7999999999993</v>
      </c>
      <c r="W90" s="56">
        <f t="shared" si="36"/>
        <v>1186.1599999999999</v>
      </c>
    </row>
    <row r="91" spans="6:23" x14ac:dyDescent="0.25">
      <c r="F91" s="19" t="s">
        <v>33</v>
      </c>
      <c r="G91" s="22">
        <f>960*4</f>
        <v>3840</v>
      </c>
      <c r="H91" s="68">
        <v>0</v>
      </c>
      <c r="I91" s="23">
        <v>0</v>
      </c>
      <c r="J91" s="24">
        <v>0</v>
      </c>
      <c r="K91" s="38">
        <v>0</v>
      </c>
      <c r="L91" s="41">
        <f>50*4</f>
        <v>200</v>
      </c>
      <c r="M91" s="23">
        <f>63.36*4</f>
        <v>253.44</v>
      </c>
      <c r="N91" s="22">
        <v>0</v>
      </c>
      <c r="O91" s="24">
        <f>9.6*4</f>
        <v>38.4</v>
      </c>
      <c r="P91" s="87">
        <f t="shared" si="33"/>
        <v>38.4</v>
      </c>
      <c r="Q91" s="23"/>
      <c r="R91" s="39">
        <f t="shared" si="34"/>
        <v>253.44</v>
      </c>
      <c r="S91" s="113">
        <f>G91+K91-M91</f>
        <v>3586.56</v>
      </c>
      <c r="T91" s="53"/>
      <c r="U91" s="38">
        <f t="shared" si="35"/>
        <v>3748.16</v>
      </c>
      <c r="V91" s="72">
        <f>937.04*4</f>
        <v>3748.16</v>
      </c>
      <c r="W91" s="56">
        <f t="shared" si="36"/>
        <v>0</v>
      </c>
    </row>
    <row r="92" spans="6:23" ht="15.75" thickBot="1" x14ac:dyDescent="0.3">
      <c r="F92" s="20" t="s">
        <v>34</v>
      </c>
      <c r="G92" s="26">
        <f>960*4</f>
        <v>3840</v>
      </c>
      <c r="H92" s="69">
        <v>0</v>
      </c>
      <c r="I92" s="27">
        <v>0</v>
      </c>
      <c r="J92" s="28">
        <v>0</v>
      </c>
      <c r="K92" s="38">
        <v>0</v>
      </c>
      <c r="L92" s="43">
        <f>50*4</f>
        <v>200</v>
      </c>
      <c r="M92" s="27">
        <f>63.36*4</f>
        <v>253.44</v>
      </c>
      <c r="N92" s="26">
        <f>0</f>
        <v>0</v>
      </c>
      <c r="O92" s="28">
        <f>9.6*4</f>
        <v>38.4</v>
      </c>
      <c r="P92" s="81">
        <f t="shared" si="33"/>
        <v>38.4</v>
      </c>
      <c r="Q92" s="66"/>
      <c r="R92" s="39">
        <f t="shared" si="34"/>
        <v>253.44</v>
      </c>
      <c r="S92" s="112">
        <f>G92+K92-M92</f>
        <v>3586.56</v>
      </c>
      <c r="T92" s="115"/>
      <c r="U92" s="42">
        <f t="shared" si="35"/>
        <v>3748.16</v>
      </c>
      <c r="V92" s="73">
        <f>937.04*4</f>
        <v>3748.16</v>
      </c>
      <c r="W92" s="56">
        <f t="shared" si="36"/>
        <v>0</v>
      </c>
    </row>
    <row r="93" spans="6:23" ht="15.75" thickBot="1" x14ac:dyDescent="0.3">
      <c r="G93" s="29">
        <f t="shared" ref="G93" si="37">SUM(G81:G92)</f>
        <v>47040</v>
      </c>
      <c r="H93" s="59">
        <f>SUM(H81:H92)</f>
        <v>612</v>
      </c>
      <c r="I93" s="30">
        <f>SUM(I81:I92)</f>
        <v>3840</v>
      </c>
      <c r="J93" s="31">
        <f t="shared" ref="J93:U93" si="38">SUM(J81:J92)</f>
        <v>4158.3</v>
      </c>
      <c r="K93" s="29">
        <f t="shared" si="38"/>
        <v>0</v>
      </c>
      <c r="L93" s="44">
        <f t="shared" si="38"/>
        <v>2450</v>
      </c>
      <c r="M93" s="30">
        <f t="shared" si="38"/>
        <v>3294.7200000000007</v>
      </c>
      <c r="N93" s="37">
        <f t="shared" si="38"/>
        <v>0</v>
      </c>
      <c r="O93" s="31">
        <f t="shared" si="38"/>
        <v>556.49999999999989</v>
      </c>
      <c r="P93" s="81">
        <f t="shared" si="38"/>
        <v>556.49999999999989</v>
      </c>
      <c r="Q93" s="30">
        <f t="shared" si="38"/>
        <v>0</v>
      </c>
      <c r="R93" s="44">
        <f t="shared" si="38"/>
        <v>3294.7200000000007</v>
      </c>
      <c r="S93" s="54">
        <f t="shared" si="38"/>
        <v>52355.579999999994</v>
      </c>
      <c r="T93" s="117"/>
      <c r="U93" s="55">
        <f t="shared" si="38"/>
        <v>54249.08</v>
      </c>
      <c r="V93" s="74">
        <f>SUM(V81:V92)</f>
        <v>53918.280000000013</v>
      </c>
      <c r="W93" s="75"/>
    </row>
    <row r="94" spans="6:23" ht="15.75" thickBot="1" x14ac:dyDescent="0.3">
      <c r="G94" s="150">
        <f>SUM(G93:H93)</f>
        <v>47652</v>
      </c>
      <c r="H94" s="151"/>
      <c r="I94" s="152">
        <f>SUM(I93:J93)</f>
        <v>7998.3</v>
      </c>
      <c r="J94" s="153"/>
      <c r="K94" s="95">
        <v>3810</v>
      </c>
      <c r="N94" s="95">
        <v>4102</v>
      </c>
      <c r="O94" s="145">
        <f>SUM(O93:P93)</f>
        <v>1112.9999999999998</v>
      </c>
      <c r="P94" s="146"/>
      <c r="S94" s="95">
        <v>3698</v>
      </c>
      <c r="T94" s="95"/>
    </row>
    <row r="95" spans="6:23" x14ac:dyDescent="0.25">
      <c r="G95" s="160">
        <v>3601</v>
      </c>
      <c r="H95" s="160"/>
      <c r="I95" s="161">
        <v>3605</v>
      </c>
      <c r="J95" s="161"/>
      <c r="O95" s="162">
        <v>4141</v>
      </c>
      <c r="P95" s="162"/>
    </row>
    <row r="97" spans="6:23" ht="16.5" thickBot="1" x14ac:dyDescent="0.3">
      <c r="F97" s="46" t="s">
        <v>55</v>
      </c>
      <c r="G97" s="12"/>
      <c r="H97" s="12"/>
      <c r="I97" s="12"/>
    </row>
    <row r="98" spans="6:23" ht="16.5" thickBot="1" x14ac:dyDescent="0.3">
      <c r="F98" s="121" t="s">
        <v>63</v>
      </c>
      <c r="G98" s="142" t="s">
        <v>36</v>
      </c>
      <c r="H98" s="144"/>
      <c r="I98" s="144"/>
      <c r="J98" s="143"/>
      <c r="K98" s="142" t="s">
        <v>37</v>
      </c>
      <c r="L98" s="143"/>
      <c r="M98" s="142" t="s">
        <v>38</v>
      </c>
      <c r="N98" s="144"/>
      <c r="O98" s="143"/>
      <c r="P98" s="142" t="s">
        <v>41</v>
      </c>
      <c r="Q98" s="144"/>
      <c r="R98" s="143"/>
      <c r="S98" s="136" t="s">
        <v>39</v>
      </c>
      <c r="T98" s="91"/>
      <c r="U98" s="154" t="s">
        <v>42</v>
      </c>
      <c r="V98" s="156" t="s">
        <v>43</v>
      </c>
      <c r="W98" s="158" t="s">
        <v>44</v>
      </c>
    </row>
    <row r="99" spans="6:23" ht="15.75" thickBot="1" x14ac:dyDescent="0.3">
      <c r="F99" s="45" t="s">
        <v>22</v>
      </c>
      <c r="G99" s="14" t="s">
        <v>18</v>
      </c>
      <c r="H99" s="76" t="s">
        <v>49</v>
      </c>
      <c r="I99" s="15" t="s">
        <v>48</v>
      </c>
      <c r="J99" s="35" t="s">
        <v>35</v>
      </c>
      <c r="K99" s="14" t="s">
        <v>20</v>
      </c>
      <c r="L99" s="16" t="s">
        <v>45</v>
      </c>
      <c r="M99" s="15" t="s">
        <v>19</v>
      </c>
      <c r="N99" s="36" t="s">
        <v>12</v>
      </c>
      <c r="O99" s="35" t="s">
        <v>13</v>
      </c>
      <c r="P99" s="93" t="s">
        <v>13</v>
      </c>
      <c r="Q99" s="88" t="s">
        <v>40</v>
      </c>
      <c r="R99" s="16" t="s">
        <v>19</v>
      </c>
      <c r="S99" s="137"/>
      <c r="T99" s="92"/>
      <c r="U99" s="155"/>
      <c r="V99" s="157"/>
      <c r="W99" s="159"/>
    </row>
    <row r="100" spans="6:23" x14ac:dyDescent="0.25">
      <c r="F100" s="18" t="s">
        <v>23</v>
      </c>
      <c r="G100" s="32">
        <f>891.6*4</f>
        <v>3566.4</v>
      </c>
      <c r="H100" s="57">
        <v>0</v>
      </c>
      <c r="I100" s="23">
        <v>0</v>
      </c>
      <c r="J100" s="24">
        <v>0</v>
      </c>
      <c r="K100" s="38">
        <v>0</v>
      </c>
      <c r="L100" s="39">
        <f>50*4</f>
        <v>200</v>
      </c>
      <c r="M100" s="33">
        <f>58.85*4</f>
        <v>235.4</v>
      </c>
      <c r="N100" s="32">
        <v>0</v>
      </c>
      <c r="O100" s="34">
        <f>8.92*4</f>
        <v>35.68</v>
      </c>
      <c r="P100" s="86">
        <f>O100</f>
        <v>35.68</v>
      </c>
      <c r="Q100" s="21">
        <v>33.32</v>
      </c>
      <c r="R100" s="39">
        <f t="shared" ref="R100:R111" si="39">M100</f>
        <v>235.4</v>
      </c>
      <c r="S100" s="113">
        <f>G100+K100-M100</f>
        <v>3331</v>
      </c>
      <c r="T100" s="53"/>
      <c r="U100" s="38">
        <f t="shared" ref="U100:U111" si="40">SUM(G100:J100)+L100-SUM(M100:O100)</f>
        <v>3495.32</v>
      </c>
      <c r="V100" s="71">
        <f>773.83*3+873.83</f>
        <v>3195.32</v>
      </c>
      <c r="W100" s="78">
        <f>U100-V100</f>
        <v>300</v>
      </c>
    </row>
    <row r="101" spans="6:23" x14ac:dyDescent="0.25">
      <c r="F101" s="19" t="s">
        <v>24</v>
      </c>
      <c r="G101" s="22">
        <f>891.6*4</f>
        <v>3566.4</v>
      </c>
      <c r="H101" s="68">
        <v>0</v>
      </c>
      <c r="I101" s="23">
        <v>0</v>
      </c>
      <c r="J101" s="24">
        <v>0</v>
      </c>
      <c r="K101" s="38">
        <v>0</v>
      </c>
      <c r="L101" s="41">
        <f>50*4</f>
        <v>200</v>
      </c>
      <c r="M101" s="23">
        <f>58.85*4</f>
        <v>235.4</v>
      </c>
      <c r="N101" s="22">
        <v>0</v>
      </c>
      <c r="O101" s="24">
        <f>8.92*4</f>
        <v>35.68</v>
      </c>
      <c r="P101" s="87">
        <f>O101</f>
        <v>35.68</v>
      </c>
      <c r="Q101" s="23"/>
      <c r="R101" s="39">
        <f t="shared" si="39"/>
        <v>235.4</v>
      </c>
      <c r="S101" s="113">
        <f>G101+K101-M101</f>
        <v>3331</v>
      </c>
      <c r="T101" s="53"/>
      <c r="U101" s="38">
        <f t="shared" si="40"/>
        <v>3495.32</v>
      </c>
      <c r="V101" s="72">
        <f>773.83*4</f>
        <v>3095.32</v>
      </c>
      <c r="W101" s="56">
        <f t="shared" ref="W101:W111" si="41">U101-V101</f>
        <v>400</v>
      </c>
    </row>
    <row r="102" spans="6:23" x14ac:dyDescent="0.25">
      <c r="F102" s="19" t="s">
        <v>25</v>
      </c>
      <c r="G102" s="22">
        <f>891.6*5</f>
        <v>4458</v>
      </c>
      <c r="H102" s="68">
        <v>0</v>
      </c>
      <c r="I102" s="23">
        <v>0</v>
      </c>
      <c r="J102" s="24">
        <v>0</v>
      </c>
      <c r="K102" s="38">
        <v>0</v>
      </c>
      <c r="L102" s="41">
        <f>50*5</f>
        <v>250</v>
      </c>
      <c r="M102" s="23">
        <f>58.85*5</f>
        <v>294.25</v>
      </c>
      <c r="N102" s="22">
        <v>0</v>
      </c>
      <c r="O102" s="24">
        <f>8.92*5</f>
        <v>44.6</v>
      </c>
      <c r="P102" s="87">
        <f t="shared" ref="P102" si="42">O102</f>
        <v>44.6</v>
      </c>
      <c r="Q102" s="23"/>
      <c r="R102" s="39">
        <f t="shared" si="39"/>
        <v>294.25</v>
      </c>
      <c r="S102" s="113">
        <f>G102+K102-M102</f>
        <v>4163.75</v>
      </c>
      <c r="T102" s="53"/>
      <c r="U102" s="38">
        <f t="shared" si="40"/>
        <v>4369.1499999999996</v>
      </c>
      <c r="V102" s="72">
        <f>873.83*5</f>
        <v>4369.1500000000005</v>
      </c>
      <c r="W102" s="56">
        <f t="shared" si="41"/>
        <v>0</v>
      </c>
    </row>
    <row r="103" spans="6:23" x14ac:dyDescent="0.25">
      <c r="F103" s="19" t="s">
        <v>26</v>
      </c>
      <c r="G103" s="22">
        <f>891.6*4</f>
        <v>3566.4</v>
      </c>
      <c r="H103" s="68">
        <v>0</v>
      </c>
      <c r="I103" s="23">
        <v>0</v>
      </c>
      <c r="J103" s="24">
        <v>0</v>
      </c>
      <c r="K103" s="38">
        <v>0</v>
      </c>
      <c r="L103" s="41">
        <f>50*4</f>
        <v>200</v>
      </c>
      <c r="M103" s="23">
        <f>58.85*4</f>
        <v>235.4</v>
      </c>
      <c r="N103" s="22">
        <v>0</v>
      </c>
      <c r="O103" s="24">
        <f>8.92*4</f>
        <v>35.68</v>
      </c>
      <c r="P103" s="87">
        <f t="shared" ref="P103" si="43">O103</f>
        <v>35.68</v>
      </c>
      <c r="Q103" s="23"/>
      <c r="R103" s="39">
        <f t="shared" si="39"/>
        <v>235.4</v>
      </c>
      <c r="S103" s="113">
        <f>G103+K103-M103</f>
        <v>3331</v>
      </c>
      <c r="T103" s="53"/>
      <c r="U103" s="38">
        <f t="shared" si="40"/>
        <v>3495.32</v>
      </c>
      <c r="V103" s="72">
        <f>873.83*4</f>
        <v>3495.32</v>
      </c>
      <c r="W103" s="56">
        <f t="shared" si="41"/>
        <v>0</v>
      </c>
    </row>
    <row r="104" spans="6:23" x14ac:dyDescent="0.25">
      <c r="F104" s="19" t="s">
        <v>27</v>
      </c>
      <c r="G104" s="22">
        <f>891.6*5</f>
        <v>4458</v>
      </c>
      <c r="H104" s="68">
        <v>0</v>
      </c>
      <c r="I104" s="23">
        <v>0</v>
      </c>
      <c r="J104" s="24">
        <v>0</v>
      </c>
      <c r="K104" s="38">
        <v>0</v>
      </c>
      <c r="L104" s="41">
        <f>50*5</f>
        <v>250</v>
      </c>
      <c r="M104" s="23">
        <f>58.85*5</f>
        <v>294.25</v>
      </c>
      <c r="N104" s="22">
        <v>0</v>
      </c>
      <c r="O104" s="24">
        <f>8.92*5</f>
        <v>44.6</v>
      </c>
      <c r="P104" s="87">
        <f t="shared" ref="P104" si="44">O104</f>
        <v>44.6</v>
      </c>
      <c r="Q104" s="23"/>
      <c r="R104" s="39">
        <f t="shared" si="39"/>
        <v>294.25</v>
      </c>
      <c r="S104" s="113">
        <f>G104+K104-M104</f>
        <v>4163.75</v>
      </c>
      <c r="T104" s="53"/>
      <c r="U104" s="38">
        <f t="shared" si="40"/>
        <v>4369.1499999999996</v>
      </c>
      <c r="V104" s="72">
        <f>873.83*4</f>
        <v>3495.32</v>
      </c>
      <c r="W104" s="56">
        <f t="shared" si="41"/>
        <v>873.82999999999947</v>
      </c>
    </row>
    <row r="105" spans="6:23" x14ac:dyDescent="0.25">
      <c r="F105" s="19" t="s">
        <v>28</v>
      </c>
      <c r="G105" s="22">
        <f>891.6*4</f>
        <v>3566.4</v>
      </c>
      <c r="H105" s="68">
        <v>0</v>
      </c>
      <c r="I105" s="23">
        <v>0</v>
      </c>
      <c r="J105" s="24">
        <v>0</v>
      </c>
      <c r="K105" s="38">
        <v>0</v>
      </c>
      <c r="L105" s="41">
        <f>50*4</f>
        <v>200</v>
      </c>
      <c r="M105" s="23">
        <f>58.85*4</f>
        <v>235.4</v>
      </c>
      <c r="N105" s="22">
        <v>0</v>
      </c>
      <c r="O105" s="24">
        <f>8.92*4</f>
        <v>35.68</v>
      </c>
      <c r="P105" s="87">
        <f t="shared" ref="P105" si="45">O105</f>
        <v>35.68</v>
      </c>
      <c r="Q105" s="23"/>
      <c r="R105" s="39">
        <f t="shared" si="39"/>
        <v>235.4</v>
      </c>
      <c r="S105" s="113">
        <f>G105+H105+K105-M105</f>
        <v>3331</v>
      </c>
      <c r="T105" s="53"/>
      <c r="U105" s="38">
        <f t="shared" si="40"/>
        <v>3495.32</v>
      </c>
      <c r="V105" s="72">
        <f>1138.64*2+873.83*3</f>
        <v>4898.7700000000004</v>
      </c>
      <c r="W105" s="56">
        <f t="shared" si="41"/>
        <v>-1403.4500000000003</v>
      </c>
    </row>
    <row r="106" spans="6:23" x14ac:dyDescent="0.25">
      <c r="F106" s="19" t="s">
        <v>29</v>
      </c>
      <c r="G106" s="22">
        <f>891.6*4</f>
        <v>3566.4</v>
      </c>
      <c r="H106" s="68">
        <v>0</v>
      </c>
      <c r="I106" s="23">
        <v>0</v>
      </c>
      <c r="J106" s="24">
        <v>0</v>
      </c>
      <c r="K106" s="38">
        <v>0</v>
      </c>
      <c r="L106" s="41">
        <f>50*4</f>
        <v>200</v>
      </c>
      <c r="M106" s="23">
        <f>58.85*4</f>
        <v>235.4</v>
      </c>
      <c r="N106" s="22">
        <v>0</v>
      </c>
      <c r="O106" s="24">
        <f>8.92*4</f>
        <v>35.68</v>
      </c>
      <c r="P106" s="87">
        <f t="shared" ref="P106" si="46">O106</f>
        <v>35.68</v>
      </c>
      <c r="Q106" s="23"/>
      <c r="R106" s="39">
        <f t="shared" si="39"/>
        <v>235.4</v>
      </c>
      <c r="S106" s="113">
        <f>G106+K106-M106+H106</f>
        <v>3331</v>
      </c>
      <c r="T106" s="53"/>
      <c r="U106" s="38">
        <f t="shared" si="40"/>
        <v>3495.32</v>
      </c>
      <c r="V106" s="72">
        <f>1138.64*3+873.83</f>
        <v>4289.75</v>
      </c>
      <c r="W106" s="56">
        <f t="shared" si="41"/>
        <v>-794.42999999999984</v>
      </c>
    </row>
    <row r="107" spans="6:23" x14ac:dyDescent="0.25">
      <c r="F107" s="19" t="s">
        <v>30</v>
      </c>
      <c r="G107" s="22">
        <f>891.6*5</f>
        <v>4458</v>
      </c>
      <c r="H107" s="68">
        <v>0</v>
      </c>
      <c r="I107" s="23">
        <v>0</v>
      </c>
      <c r="J107" s="24">
        <v>0</v>
      </c>
      <c r="K107" s="38">
        <v>0</v>
      </c>
      <c r="L107" s="41">
        <f>50*5</f>
        <v>250</v>
      </c>
      <c r="M107" s="23">
        <f>58.85*5</f>
        <v>294.25</v>
      </c>
      <c r="N107" s="22">
        <v>0</v>
      </c>
      <c r="O107" s="24">
        <f>8.92*5</f>
        <v>44.6</v>
      </c>
      <c r="P107" s="87">
        <f t="shared" ref="P107" si="47">O107</f>
        <v>44.6</v>
      </c>
      <c r="Q107" s="23"/>
      <c r="R107" s="39">
        <f t="shared" si="39"/>
        <v>294.25</v>
      </c>
      <c r="S107" s="113">
        <f>G107+K107-M107</f>
        <v>4163.75</v>
      </c>
      <c r="T107" s="53"/>
      <c r="U107" s="38">
        <f t="shared" si="40"/>
        <v>4369.1499999999996</v>
      </c>
      <c r="V107" s="72">
        <f>873.83*5</f>
        <v>4369.1500000000005</v>
      </c>
      <c r="W107" s="56">
        <f t="shared" si="41"/>
        <v>0</v>
      </c>
    </row>
    <row r="108" spans="6:23" x14ac:dyDescent="0.25">
      <c r="F108" s="19" t="s">
        <v>31</v>
      </c>
      <c r="G108" s="22">
        <f>891.6*4</f>
        <v>3566.4</v>
      </c>
      <c r="H108" s="68">
        <v>0</v>
      </c>
      <c r="I108" s="23">
        <v>0</v>
      </c>
      <c r="J108" s="24">
        <v>0</v>
      </c>
      <c r="K108" s="38">
        <v>0</v>
      </c>
      <c r="L108" s="41">
        <f>50*4</f>
        <v>200</v>
      </c>
      <c r="M108" s="23">
        <f>58.85*4</f>
        <v>235.4</v>
      </c>
      <c r="N108" s="22">
        <v>0</v>
      </c>
      <c r="O108" s="24">
        <f>8.92*4</f>
        <v>35.68</v>
      </c>
      <c r="P108" s="87">
        <f t="shared" ref="P108" si="48">O108</f>
        <v>35.68</v>
      </c>
      <c r="Q108" s="23"/>
      <c r="R108" s="39">
        <f t="shared" si="39"/>
        <v>235.4</v>
      </c>
      <c r="S108" s="113">
        <f>G108+K108-M108</f>
        <v>3331</v>
      </c>
      <c r="T108" s="53"/>
      <c r="U108" s="38">
        <f t="shared" si="40"/>
        <v>3495.32</v>
      </c>
      <c r="V108" s="72">
        <f>873.83*4</f>
        <v>3495.32</v>
      </c>
      <c r="W108" s="56">
        <f t="shared" si="41"/>
        <v>0</v>
      </c>
    </row>
    <row r="109" spans="6:23" x14ac:dyDescent="0.25">
      <c r="F109" s="19" t="s">
        <v>32</v>
      </c>
      <c r="G109" s="22">
        <f>891.6*2</f>
        <v>1783.2</v>
      </c>
      <c r="H109" s="68">
        <v>0</v>
      </c>
      <c r="I109" s="23">
        <v>3566.4</v>
      </c>
      <c r="J109" s="24">
        <v>3862.02</v>
      </c>
      <c r="K109" s="38">
        <v>0</v>
      </c>
      <c r="L109" s="41">
        <f>50*2</f>
        <v>100</v>
      </c>
      <c r="M109" s="23">
        <f>235.4+58.85</f>
        <v>294.25</v>
      </c>
      <c r="N109" s="22">
        <v>0</v>
      </c>
      <c r="O109" s="24">
        <f>8.92+83.2</f>
        <v>92.12</v>
      </c>
      <c r="P109" s="87">
        <f t="shared" ref="P109" si="49">O109</f>
        <v>92.12</v>
      </c>
      <c r="Q109" s="23"/>
      <c r="R109" s="39">
        <f t="shared" si="39"/>
        <v>294.25</v>
      </c>
      <c r="S109" s="113">
        <f>G109+K109+I109+J109-M109</f>
        <v>8917.3700000000008</v>
      </c>
      <c r="T109" s="53"/>
      <c r="U109" s="38">
        <f t="shared" si="40"/>
        <v>8925.25</v>
      </c>
      <c r="V109" s="72">
        <f>6982.88+873.83</f>
        <v>7856.71</v>
      </c>
      <c r="W109" s="56">
        <f t="shared" si="41"/>
        <v>1068.54</v>
      </c>
    </row>
    <row r="110" spans="6:23" x14ac:dyDescent="0.25">
      <c r="F110" s="19" t="s">
        <v>33</v>
      </c>
      <c r="G110" s="22">
        <f>891.6*4</f>
        <v>3566.4</v>
      </c>
      <c r="H110" s="68">
        <v>0</v>
      </c>
      <c r="I110" s="23">
        <v>0</v>
      </c>
      <c r="J110" s="24">
        <v>0</v>
      </c>
      <c r="K110" s="38">
        <v>0</v>
      </c>
      <c r="L110" s="41">
        <f>50*4</f>
        <v>200</v>
      </c>
      <c r="M110" s="23">
        <f>58.85*4</f>
        <v>235.4</v>
      </c>
      <c r="N110" s="22">
        <v>0</v>
      </c>
      <c r="O110" s="24">
        <f>8.92*4</f>
        <v>35.68</v>
      </c>
      <c r="P110" s="87">
        <f t="shared" ref="P110" si="50">O110</f>
        <v>35.68</v>
      </c>
      <c r="Q110" s="23"/>
      <c r="R110" s="39">
        <f t="shared" si="39"/>
        <v>235.4</v>
      </c>
      <c r="S110" s="113">
        <f>G110+K110-M110</f>
        <v>3331</v>
      </c>
      <c r="T110" s="53"/>
      <c r="U110" s="38">
        <f t="shared" si="40"/>
        <v>3495.32</v>
      </c>
      <c r="V110" s="72">
        <f>873.83*4</f>
        <v>3495.32</v>
      </c>
      <c r="W110" s="56">
        <f t="shared" si="41"/>
        <v>0</v>
      </c>
    </row>
    <row r="111" spans="6:23" ht="15.75" thickBot="1" x14ac:dyDescent="0.3">
      <c r="F111" s="20" t="s">
        <v>34</v>
      </c>
      <c r="G111" s="26">
        <f>891.6*4</f>
        <v>3566.4</v>
      </c>
      <c r="H111" s="69">
        <v>0</v>
      </c>
      <c r="I111" s="27">
        <v>0</v>
      </c>
      <c r="J111" s="28">
        <v>0</v>
      </c>
      <c r="K111" s="38">
        <v>0</v>
      </c>
      <c r="L111" s="43">
        <f>50*4</f>
        <v>200</v>
      </c>
      <c r="M111" s="27">
        <f>58.85*4</f>
        <v>235.4</v>
      </c>
      <c r="N111" s="26">
        <v>0</v>
      </c>
      <c r="O111" s="28">
        <f>8.92*4</f>
        <v>35.68</v>
      </c>
      <c r="P111" s="80">
        <f>O111</f>
        <v>35.68</v>
      </c>
      <c r="Q111" s="27"/>
      <c r="R111" s="39">
        <f t="shared" si="39"/>
        <v>235.4</v>
      </c>
      <c r="S111" s="112">
        <f>G111+K111-M111</f>
        <v>3331</v>
      </c>
      <c r="T111" s="115"/>
      <c r="U111" s="42">
        <f t="shared" si="40"/>
        <v>3495.32</v>
      </c>
      <c r="V111" s="73">
        <f>873.83*4</f>
        <v>3495.32</v>
      </c>
      <c r="W111" s="56">
        <f t="shared" si="41"/>
        <v>0</v>
      </c>
    </row>
    <row r="112" spans="6:23" ht="15.75" thickBot="1" x14ac:dyDescent="0.3">
      <c r="G112" s="29">
        <f t="shared" ref="G112" si="51">SUM(G100:G111)</f>
        <v>43688.4</v>
      </c>
      <c r="H112" s="59">
        <f>SUM(H100:H111)</f>
        <v>0</v>
      </c>
      <c r="I112" s="30">
        <f>SUM(I100:I111)</f>
        <v>3566.4</v>
      </c>
      <c r="J112" s="31">
        <f t="shared" ref="J112:U112" si="52">SUM(J100:J111)</f>
        <v>3862.02</v>
      </c>
      <c r="K112" s="29">
        <f t="shared" si="52"/>
        <v>0</v>
      </c>
      <c r="L112" s="44">
        <f t="shared" si="52"/>
        <v>2450</v>
      </c>
      <c r="M112" s="30">
        <f t="shared" si="52"/>
        <v>3060.2000000000003</v>
      </c>
      <c r="N112" s="37">
        <f t="shared" si="52"/>
        <v>0</v>
      </c>
      <c r="O112" s="31">
        <f t="shared" si="52"/>
        <v>511.36000000000007</v>
      </c>
      <c r="P112" s="81">
        <f t="shared" si="52"/>
        <v>511.36000000000007</v>
      </c>
      <c r="Q112" s="30">
        <f t="shared" si="52"/>
        <v>33.32</v>
      </c>
      <c r="R112" s="44">
        <f t="shared" si="52"/>
        <v>3060.2000000000003</v>
      </c>
      <c r="S112" s="54">
        <f t="shared" si="52"/>
        <v>48056.62</v>
      </c>
      <c r="T112" s="117"/>
      <c r="U112" s="55">
        <f t="shared" si="52"/>
        <v>49995.26</v>
      </c>
      <c r="V112" s="74">
        <f>SUM(V100:V111)</f>
        <v>49550.770000000004</v>
      </c>
      <c r="W112" s="75"/>
    </row>
    <row r="113" spans="6:23" ht="15.75" thickBot="1" x14ac:dyDescent="0.3">
      <c r="G113" s="150">
        <f>SUM(G112:H112)</f>
        <v>43688.4</v>
      </c>
      <c r="H113" s="151"/>
      <c r="I113" s="152">
        <f>SUM(I112:J112)</f>
        <v>7428.42</v>
      </c>
      <c r="J113" s="153"/>
      <c r="K113" s="95">
        <v>3810</v>
      </c>
      <c r="N113" s="95">
        <v>4102</v>
      </c>
      <c r="O113" s="163">
        <f>SUM(O112:P112)</f>
        <v>1022.7200000000001</v>
      </c>
      <c r="P113" s="164"/>
      <c r="S113" s="95">
        <v>3698</v>
      </c>
      <c r="T113" s="95"/>
    </row>
    <row r="114" spans="6:23" x14ac:dyDescent="0.25">
      <c r="G114" s="160">
        <v>3601</v>
      </c>
      <c r="H114" s="160"/>
      <c r="I114" s="161">
        <v>3605</v>
      </c>
      <c r="J114" s="161"/>
      <c r="O114" s="162">
        <v>4141</v>
      </c>
      <c r="P114" s="162"/>
    </row>
    <row r="116" spans="6:23" ht="16.5" thickBot="1" x14ac:dyDescent="0.3">
      <c r="F116" s="46" t="s">
        <v>57</v>
      </c>
      <c r="G116" s="12"/>
      <c r="H116" s="12"/>
      <c r="I116" s="12"/>
    </row>
    <row r="117" spans="6:23" ht="16.5" thickBot="1" x14ac:dyDescent="0.3">
      <c r="F117" s="121" t="s">
        <v>63</v>
      </c>
      <c r="G117" s="142" t="s">
        <v>36</v>
      </c>
      <c r="H117" s="144"/>
      <c r="I117" s="144"/>
      <c r="J117" s="143"/>
      <c r="K117" s="142" t="s">
        <v>37</v>
      </c>
      <c r="L117" s="143"/>
      <c r="M117" s="142" t="s">
        <v>38</v>
      </c>
      <c r="N117" s="144"/>
      <c r="O117" s="143"/>
      <c r="P117" s="142" t="s">
        <v>41</v>
      </c>
      <c r="Q117" s="144"/>
      <c r="R117" s="143"/>
      <c r="S117" s="136" t="s">
        <v>39</v>
      </c>
      <c r="T117" s="91"/>
      <c r="U117" s="154" t="s">
        <v>42</v>
      </c>
      <c r="V117" s="156" t="s">
        <v>43</v>
      </c>
      <c r="W117" s="158" t="s">
        <v>44</v>
      </c>
    </row>
    <row r="118" spans="6:23" ht="15.75" thickBot="1" x14ac:dyDescent="0.3">
      <c r="F118" s="45" t="s">
        <v>22</v>
      </c>
      <c r="G118" s="14" t="s">
        <v>18</v>
      </c>
      <c r="H118" s="76" t="s">
        <v>49</v>
      </c>
      <c r="I118" s="15" t="s">
        <v>48</v>
      </c>
      <c r="J118" s="35" t="s">
        <v>35</v>
      </c>
      <c r="K118" s="14" t="s">
        <v>20</v>
      </c>
      <c r="L118" s="16" t="s">
        <v>45</v>
      </c>
      <c r="M118" s="15" t="s">
        <v>19</v>
      </c>
      <c r="N118" s="36" t="s">
        <v>12</v>
      </c>
      <c r="O118" s="35" t="s">
        <v>13</v>
      </c>
      <c r="P118" s="93" t="s">
        <v>13</v>
      </c>
      <c r="Q118" s="88" t="s">
        <v>40</v>
      </c>
      <c r="R118" s="16" t="s">
        <v>19</v>
      </c>
      <c r="S118" s="137"/>
      <c r="T118" s="92"/>
      <c r="U118" s="155"/>
      <c r="V118" s="157"/>
      <c r="W118" s="159"/>
    </row>
    <row r="119" spans="6:23" x14ac:dyDescent="0.25">
      <c r="F119" s="18" t="s">
        <v>23</v>
      </c>
      <c r="G119" s="32">
        <f>800*4</f>
        <v>3200</v>
      </c>
      <c r="H119" s="57">
        <v>0</v>
      </c>
      <c r="I119" s="23">
        <v>0</v>
      </c>
      <c r="J119" s="24">
        <v>0</v>
      </c>
      <c r="K119" s="38">
        <v>0</v>
      </c>
      <c r="L119" s="39">
        <v>0</v>
      </c>
      <c r="M119" s="33">
        <v>0</v>
      </c>
      <c r="N119" s="32">
        <v>0</v>
      </c>
      <c r="O119" s="34">
        <f>8*4</f>
        <v>32</v>
      </c>
      <c r="P119" s="86">
        <f>O119</f>
        <v>32</v>
      </c>
      <c r="Q119" s="33">
        <f>P119</f>
        <v>32</v>
      </c>
      <c r="R119" s="39">
        <f t="shared" ref="R119:R130" si="53">M119</f>
        <v>0</v>
      </c>
      <c r="S119" s="113">
        <f t="shared" ref="S119:S127" si="54">G119+H119+K119-M119</f>
        <v>3200</v>
      </c>
      <c r="T119" s="53"/>
      <c r="U119" s="38">
        <f t="shared" ref="U119:U130" si="55">SUM(G119:J119)+L119-SUM(M119:O119)</f>
        <v>3168</v>
      </c>
      <c r="V119" s="71">
        <f>593*2+693*2</f>
        <v>2572</v>
      </c>
      <c r="W119" s="78">
        <f>U119-V119</f>
        <v>596</v>
      </c>
    </row>
    <row r="120" spans="6:23" x14ac:dyDescent="0.25">
      <c r="F120" s="19" t="s">
        <v>24</v>
      </c>
      <c r="G120" s="22">
        <f>800*4</f>
        <v>3200</v>
      </c>
      <c r="H120" s="68">
        <v>0</v>
      </c>
      <c r="I120" s="23">
        <v>0</v>
      </c>
      <c r="J120" s="24">
        <v>0</v>
      </c>
      <c r="K120" s="38">
        <v>0</v>
      </c>
      <c r="L120" s="41">
        <v>0</v>
      </c>
      <c r="M120" s="23">
        <v>0</v>
      </c>
      <c r="N120" s="22">
        <v>0</v>
      </c>
      <c r="O120" s="24">
        <f>8*4</f>
        <v>32</v>
      </c>
      <c r="P120" s="87">
        <f>O120</f>
        <v>32</v>
      </c>
      <c r="Q120" s="23">
        <f>P120</f>
        <v>32</v>
      </c>
      <c r="R120" s="39">
        <f t="shared" si="53"/>
        <v>0</v>
      </c>
      <c r="S120" s="113">
        <f t="shared" si="54"/>
        <v>3200</v>
      </c>
      <c r="T120" s="53"/>
      <c r="U120" s="38">
        <f t="shared" si="55"/>
        <v>3168</v>
      </c>
      <c r="V120" s="72">
        <f>792+692+593+593</f>
        <v>2670</v>
      </c>
      <c r="W120" s="56">
        <f t="shared" ref="W120:W130" si="56">U120-V120</f>
        <v>498</v>
      </c>
    </row>
    <row r="121" spans="6:23" x14ac:dyDescent="0.25">
      <c r="F121" s="19" t="s">
        <v>25</v>
      </c>
      <c r="G121" s="22">
        <f>800*5</f>
        <v>4000</v>
      </c>
      <c r="H121" s="68">
        <v>0</v>
      </c>
      <c r="I121" s="23">
        <v>0</v>
      </c>
      <c r="J121" s="24">
        <v>0</v>
      </c>
      <c r="K121" s="38">
        <v>0</v>
      </c>
      <c r="L121" s="41">
        <v>0</v>
      </c>
      <c r="M121" s="23">
        <v>0</v>
      </c>
      <c r="N121" s="22">
        <v>0</v>
      </c>
      <c r="O121" s="24">
        <f>8*5</f>
        <v>40</v>
      </c>
      <c r="P121" s="87">
        <f t="shared" ref="P121:Q121" si="57">O121</f>
        <v>40</v>
      </c>
      <c r="Q121" s="23">
        <f t="shared" si="57"/>
        <v>40</v>
      </c>
      <c r="R121" s="39">
        <f t="shared" si="53"/>
        <v>0</v>
      </c>
      <c r="S121" s="113">
        <f t="shared" si="54"/>
        <v>4000</v>
      </c>
      <c r="T121" s="53"/>
      <c r="U121" s="38">
        <f t="shared" si="55"/>
        <v>3960</v>
      </c>
      <c r="V121" s="72">
        <f>792*5</f>
        <v>3960</v>
      </c>
      <c r="W121" s="56">
        <f t="shared" si="56"/>
        <v>0</v>
      </c>
    </row>
    <row r="122" spans="6:23" x14ac:dyDescent="0.25">
      <c r="F122" s="19" t="s">
        <v>26</v>
      </c>
      <c r="G122" s="22">
        <f>800*4</f>
        <v>3200</v>
      </c>
      <c r="H122" s="68">
        <v>0</v>
      </c>
      <c r="I122" s="23">
        <v>0</v>
      </c>
      <c r="J122" s="24">
        <v>0</v>
      </c>
      <c r="K122" s="38">
        <v>0</v>
      </c>
      <c r="L122" s="41">
        <v>0</v>
      </c>
      <c r="M122" s="23">
        <v>0</v>
      </c>
      <c r="N122" s="22">
        <v>0</v>
      </c>
      <c r="O122" s="24">
        <f>8*4</f>
        <v>32</v>
      </c>
      <c r="P122" s="87">
        <f t="shared" ref="P122:Q122" si="58">O122</f>
        <v>32</v>
      </c>
      <c r="Q122" s="23">
        <f t="shared" si="58"/>
        <v>32</v>
      </c>
      <c r="R122" s="39">
        <f t="shared" si="53"/>
        <v>0</v>
      </c>
      <c r="S122" s="113">
        <f t="shared" si="54"/>
        <v>3200</v>
      </c>
      <c r="T122" s="53"/>
      <c r="U122" s="38">
        <f t="shared" si="55"/>
        <v>3168</v>
      </c>
      <c r="V122" s="72">
        <f>1029.6*2+792*2</f>
        <v>3643.2</v>
      </c>
      <c r="W122" s="56">
        <f t="shared" si="56"/>
        <v>-475.19999999999982</v>
      </c>
    </row>
    <row r="123" spans="6:23" x14ac:dyDescent="0.25">
      <c r="F123" s="19" t="s">
        <v>27</v>
      </c>
      <c r="G123" s="22">
        <f>800*5</f>
        <v>4000</v>
      </c>
      <c r="H123" s="68">
        <v>0</v>
      </c>
      <c r="I123" s="23">
        <v>0</v>
      </c>
      <c r="J123" s="24">
        <v>0</v>
      </c>
      <c r="K123" s="38">
        <v>0</v>
      </c>
      <c r="L123" s="41">
        <v>0</v>
      </c>
      <c r="M123" s="23">
        <v>0</v>
      </c>
      <c r="N123" s="22">
        <v>0</v>
      </c>
      <c r="O123" s="24">
        <f>8*5</f>
        <v>40</v>
      </c>
      <c r="P123" s="87">
        <f t="shared" ref="P123:Q123" si="59">O123</f>
        <v>40</v>
      </c>
      <c r="Q123" s="23">
        <f t="shared" si="59"/>
        <v>40</v>
      </c>
      <c r="R123" s="39">
        <f t="shared" si="53"/>
        <v>0</v>
      </c>
      <c r="S123" s="113">
        <f t="shared" si="54"/>
        <v>4000</v>
      </c>
      <c r="T123" s="53"/>
      <c r="U123" s="38">
        <f t="shared" si="55"/>
        <v>3960</v>
      </c>
      <c r="V123" s="72">
        <f>1029.6+792*3</f>
        <v>3405.6</v>
      </c>
      <c r="W123" s="56">
        <f t="shared" si="56"/>
        <v>554.40000000000009</v>
      </c>
    </row>
    <row r="124" spans="6:23" x14ac:dyDescent="0.25">
      <c r="F124" s="19" t="s">
        <v>28</v>
      </c>
      <c r="G124" s="22">
        <f>800*4</f>
        <v>3200</v>
      </c>
      <c r="H124" s="68">
        <v>0</v>
      </c>
      <c r="I124" s="23">
        <v>0</v>
      </c>
      <c r="J124" s="24">
        <v>0</v>
      </c>
      <c r="K124" s="38">
        <v>0</v>
      </c>
      <c r="L124" s="41">
        <v>0</v>
      </c>
      <c r="M124" s="23">
        <v>0</v>
      </c>
      <c r="N124" s="22">
        <v>0</v>
      </c>
      <c r="O124" s="24">
        <f>8*4</f>
        <v>32</v>
      </c>
      <c r="P124" s="87">
        <f t="shared" ref="P124:Q124" si="60">O124</f>
        <v>32</v>
      </c>
      <c r="Q124" s="23">
        <f t="shared" si="60"/>
        <v>32</v>
      </c>
      <c r="R124" s="39">
        <f t="shared" si="53"/>
        <v>0</v>
      </c>
      <c r="S124" s="113">
        <f t="shared" si="54"/>
        <v>3200</v>
      </c>
      <c r="T124" s="53"/>
      <c r="U124" s="38">
        <f t="shared" si="55"/>
        <v>3168</v>
      </c>
      <c r="V124" s="72">
        <f>792*2+1029.6*2+985.05</f>
        <v>4628.25</v>
      </c>
      <c r="W124" s="56">
        <f t="shared" si="56"/>
        <v>-1460.25</v>
      </c>
    </row>
    <row r="125" spans="6:23" x14ac:dyDescent="0.25">
      <c r="F125" s="19" t="s">
        <v>29</v>
      </c>
      <c r="G125" s="22">
        <f>800*4</f>
        <v>3200</v>
      </c>
      <c r="H125" s="68">
        <f>360+420</f>
        <v>780</v>
      </c>
      <c r="I125" s="23">
        <v>0</v>
      </c>
      <c r="J125" s="24">
        <v>0</v>
      </c>
      <c r="K125" s="38">
        <v>0</v>
      </c>
      <c r="L125" s="41">
        <v>0</v>
      </c>
      <c r="M125" s="23">
        <v>0</v>
      </c>
      <c r="N125" s="22">
        <v>0</v>
      </c>
      <c r="O125" s="24">
        <f>8*2+11.6+12.2</f>
        <v>39.799999999999997</v>
      </c>
      <c r="P125" s="87">
        <f t="shared" ref="P125:Q125" si="61">O125</f>
        <v>39.799999999999997</v>
      </c>
      <c r="Q125" s="23">
        <f t="shared" si="61"/>
        <v>39.799999999999997</v>
      </c>
      <c r="R125" s="39">
        <f t="shared" si="53"/>
        <v>0</v>
      </c>
      <c r="S125" s="113">
        <f t="shared" si="54"/>
        <v>3980</v>
      </c>
      <c r="T125" s="53"/>
      <c r="U125" s="38">
        <f t="shared" si="55"/>
        <v>3940.2</v>
      </c>
      <c r="V125" s="72">
        <f>1346.4+1029.6*3</f>
        <v>4435.2</v>
      </c>
      <c r="W125" s="56">
        <f t="shared" si="56"/>
        <v>-495</v>
      </c>
    </row>
    <row r="126" spans="6:23" x14ac:dyDescent="0.25">
      <c r="F126" s="19" t="s">
        <v>30</v>
      </c>
      <c r="G126" s="22">
        <f>800*5</f>
        <v>4000</v>
      </c>
      <c r="H126" s="68">
        <f>240+165+330+240</f>
        <v>975</v>
      </c>
      <c r="I126" s="23">
        <v>0</v>
      </c>
      <c r="J126" s="24">
        <v>0</v>
      </c>
      <c r="K126" s="38">
        <v>0</v>
      </c>
      <c r="L126" s="41">
        <v>0</v>
      </c>
      <c r="M126" s="23">
        <v>0</v>
      </c>
      <c r="N126" s="22">
        <v>0</v>
      </c>
      <c r="O126" s="24">
        <f>10.4+11.3+9.65+10.4+8</f>
        <v>49.75</v>
      </c>
      <c r="P126" s="87">
        <f t="shared" ref="P126:Q126" si="62">O126</f>
        <v>49.75</v>
      </c>
      <c r="Q126" s="23">
        <f t="shared" si="62"/>
        <v>49.75</v>
      </c>
      <c r="R126" s="39">
        <f t="shared" si="53"/>
        <v>0</v>
      </c>
      <c r="S126" s="113">
        <f t="shared" si="54"/>
        <v>4975</v>
      </c>
      <c r="T126" s="53"/>
      <c r="U126" s="38">
        <f t="shared" si="55"/>
        <v>4925.25</v>
      </c>
      <c r="V126" s="72">
        <f>592*4+829.6</f>
        <v>3197.6</v>
      </c>
      <c r="W126" s="56">
        <f t="shared" si="56"/>
        <v>1727.65</v>
      </c>
    </row>
    <row r="127" spans="6:23" x14ac:dyDescent="0.25">
      <c r="F127" s="19" t="s">
        <v>31</v>
      </c>
      <c r="G127" s="22">
        <f>800*4</f>
        <v>3200</v>
      </c>
      <c r="H127" s="68">
        <v>600</v>
      </c>
      <c r="I127" s="23">
        <v>0</v>
      </c>
      <c r="J127" s="24">
        <v>0</v>
      </c>
      <c r="K127" s="38">
        <v>0</v>
      </c>
      <c r="L127" s="41">
        <v>0</v>
      </c>
      <c r="M127" s="23">
        <v>0</v>
      </c>
      <c r="N127" s="22">
        <v>0</v>
      </c>
      <c r="O127" s="24">
        <f>8*3+14</f>
        <v>38</v>
      </c>
      <c r="P127" s="87">
        <f t="shared" ref="P127:Q127" si="63">O127</f>
        <v>38</v>
      </c>
      <c r="Q127" s="23">
        <f t="shared" si="63"/>
        <v>38</v>
      </c>
      <c r="R127" s="39">
        <f t="shared" si="53"/>
        <v>0</v>
      </c>
      <c r="S127" s="113">
        <f t="shared" si="54"/>
        <v>3800</v>
      </c>
      <c r="T127" s="53"/>
      <c r="U127" s="38">
        <f t="shared" si="55"/>
        <v>3762</v>
      </c>
      <c r="V127" s="72">
        <f>592+651.4+870.2+829.6</f>
        <v>2943.2000000000003</v>
      </c>
      <c r="W127" s="56">
        <f t="shared" si="56"/>
        <v>818.79999999999973</v>
      </c>
    </row>
    <row r="128" spans="6:23" x14ac:dyDescent="0.25">
      <c r="F128" s="19" t="s">
        <v>32</v>
      </c>
      <c r="G128" s="22">
        <f>800*2</f>
        <v>1600</v>
      </c>
      <c r="H128" s="68">
        <v>0</v>
      </c>
      <c r="I128" s="23">
        <v>2400</v>
      </c>
      <c r="J128" s="24">
        <v>3465.25</v>
      </c>
      <c r="K128" s="38">
        <v>0</v>
      </c>
      <c r="L128" s="41">
        <v>0</v>
      </c>
      <c r="M128" s="23">
        <v>0</v>
      </c>
      <c r="N128" s="22">
        <v>0</v>
      </c>
      <c r="O128" s="24">
        <f>66.65+8</f>
        <v>74.650000000000006</v>
      </c>
      <c r="P128" s="87">
        <f t="shared" ref="P128:Q128" si="64">O128</f>
        <v>74.650000000000006</v>
      </c>
      <c r="Q128" s="23">
        <f t="shared" si="64"/>
        <v>74.650000000000006</v>
      </c>
      <c r="R128" s="39">
        <f t="shared" si="53"/>
        <v>0</v>
      </c>
      <c r="S128" s="113">
        <f>G128+K128+I128+J128-M128</f>
        <v>7465.25</v>
      </c>
      <c r="T128" s="53"/>
      <c r="U128" s="38">
        <f t="shared" si="55"/>
        <v>7390.6</v>
      </c>
      <c r="V128" s="72">
        <f>4754.91+592</f>
        <v>5346.91</v>
      </c>
      <c r="W128" s="56">
        <f t="shared" si="56"/>
        <v>2043.6900000000005</v>
      </c>
    </row>
    <row r="129" spans="6:23" x14ac:dyDescent="0.25">
      <c r="F129" s="19" t="s">
        <v>33</v>
      </c>
      <c r="G129" s="22">
        <f>800*4</f>
        <v>3200</v>
      </c>
      <c r="H129" s="68">
        <v>0</v>
      </c>
      <c r="I129" s="23">
        <v>0</v>
      </c>
      <c r="J129" s="24">
        <v>0</v>
      </c>
      <c r="K129" s="38">
        <v>0</v>
      </c>
      <c r="L129" s="41">
        <v>0</v>
      </c>
      <c r="M129" s="23">
        <v>0</v>
      </c>
      <c r="N129" s="22">
        <v>0</v>
      </c>
      <c r="O129" s="24">
        <f>8*4</f>
        <v>32</v>
      </c>
      <c r="P129" s="87">
        <f t="shared" ref="P129:Q129" si="65">O129</f>
        <v>32</v>
      </c>
      <c r="Q129" s="23">
        <f t="shared" si="65"/>
        <v>32</v>
      </c>
      <c r="R129" s="39">
        <f t="shared" si="53"/>
        <v>0</v>
      </c>
      <c r="S129" s="113">
        <f>G129+K129-M129</f>
        <v>3200</v>
      </c>
      <c r="T129" s="53"/>
      <c r="U129" s="38">
        <f t="shared" si="55"/>
        <v>3168</v>
      </c>
      <c r="V129" s="72">
        <f>542*4</f>
        <v>2168</v>
      </c>
      <c r="W129" s="56">
        <f t="shared" si="56"/>
        <v>1000</v>
      </c>
    </row>
    <row r="130" spans="6:23" ht="15.75" thickBot="1" x14ac:dyDescent="0.3">
      <c r="F130" s="20" t="s">
        <v>34</v>
      </c>
      <c r="G130" s="26">
        <f>800*4</f>
        <v>3200</v>
      </c>
      <c r="H130" s="69">
        <v>0</v>
      </c>
      <c r="I130" s="27">
        <v>0</v>
      </c>
      <c r="J130" s="28">
        <v>0</v>
      </c>
      <c r="K130" s="38">
        <v>0</v>
      </c>
      <c r="L130" s="43">
        <v>0</v>
      </c>
      <c r="M130" s="27">
        <v>0</v>
      </c>
      <c r="N130" s="26">
        <v>0</v>
      </c>
      <c r="O130" s="28">
        <f>8*4</f>
        <v>32</v>
      </c>
      <c r="P130" s="80">
        <f t="shared" ref="P130:Q130" si="66">O130</f>
        <v>32</v>
      </c>
      <c r="Q130" s="27">
        <f t="shared" si="66"/>
        <v>32</v>
      </c>
      <c r="R130" s="39">
        <f t="shared" si="53"/>
        <v>0</v>
      </c>
      <c r="S130" s="112">
        <f>G130+K130-M130</f>
        <v>3200</v>
      </c>
      <c r="T130" s="115"/>
      <c r="U130" s="42">
        <f t="shared" si="55"/>
        <v>3168</v>
      </c>
      <c r="V130" s="73">
        <f>542*4</f>
        <v>2168</v>
      </c>
      <c r="W130" s="56">
        <f t="shared" si="56"/>
        <v>1000</v>
      </c>
    </row>
    <row r="131" spans="6:23" ht="15.75" thickBot="1" x14ac:dyDescent="0.3">
      <c r="G131" s="29">
        <f t="shared" ref="G131" si="67">SUM(G119:G130)</f>
        <v>39200</v>
      </c>
      <c r="H131" s="59">
        <f>SUM(H119:H130)</f>
        <v>2355</v>
      </c>
      <c r="I131" s="30">
        <f>SUM(I119:I130)</f>
        <v>2400</v>
      </c>
      <c r="J131" s="31">
        <f t="shared" ref="J131:U131" si="68">SUM(J119:J130)</f>
        <v>3465.25</v>
      </c>
      <c r="K131" s="29">
        <f t="shared" si="68"/>
        <v>0</v>
      </c>
      <c r="L131" s="44">
        <f t="shared" si="68"/>
        <v>0</v>
      </c>
      <c r="M131" s="30">
        <f t="shared" si="68"/>
        <v>0</v>
      </c>
      <c r="N131" s="37">
        <f t="shared" si="68"/>
        <v>0</v>
      </c>
      <c r="O131" s="31">
        <f t="shared" si="68"/>
        <v>474.20000000000005</v>
      </c>
      <c r="P131" s="81">
        <f t="shared" si="68"/>
        <v>474.20000000000005</v>
      </c>
      <c r="Q131" s="66">
        <f t="shared" si="68"/>
        <v>474.20000000000005</v>
      </c>
      <c r="R131" s="44">
        <f t="shared" si="68"/>
        <v>0</v>
      </c>
      <c r="S131" s="54">
        <f t="shared" si="68"/>
        <v>47420.25</v>
      </c>
      <c r="T131" s="117"/>
      <c r="U131" s="55">
        <f t="shared" si="68"/>
        <v>46946.049999999996</v>
      </c>
      <c r="V131" s="74">
        <f>SUM(V119:V130)</f>
        <v>41137.960000000006</v>
      </c>
      <c r="W131" s="75"/>
    </row>
    <row r="132" spans="6:23" ht="15.75" thickBot="1" x14ac:dyDescent="0.3">
      <c r="G132" s="150">
        <f>SUM(G131:H131)</f>
        <v>41555</v>
      </c>
      <c r="H132" s="151"/>
      <c r="I132" s="152">
        <f>SUM(I131:J131)</f>
        <v>5865.25</v>
      </c>
      <c r="J132" s="153"/>
      <c r="K132" s="95">
        <v>3810</v>
      </c>
      <c r="N132" s="95">
        <v>4102</v>
      </c>
      <c r="O132" s="163">
        <f>SUM(O131:P131)</f>
        <v>948.40000000000009</v>
      </c>
      <c r="P132" s="164"/>
      <c r="S132" s="95">
        <v>3698</v>
      </c>
      <c r="T132" s="95"/>
    </row>
    <row r="133" spans="6:23" x14ac:dyDescent="0.25">
      <c r="G133" s="160">
        <v>3601</v>
      </c>
      <c r="H133" s="160"/>
      <c r="I133" s="161">
        <v>3605</v>
      </c>
      <c r="J133" s="161"/>
      <c r="O133" s="162">
        <v>4141</v>
      </c>
      <c r="P133" s="162"/>
    </row>
    <row r="135" spans="6:23" ht="16.5" thickBot="1" x14ac:dyDescent="0.3">
      <c r="F135" s="46" t="s">
        <v>58</v>
      </c>
      <c r="G135" s="12"/>
      <c r="H135" s="12"/>
      <c r="I135" s="12"/>
    </row>
    <row r="136" spans="6:23" ht="16.5" thickBot="1" x14ac:dyDescent="0.3">
      <c r="F136" s="121" t="s">
        <v>63</v>
      </c>
      <c r="G136" s="142" t="s">
        <v>36</v>
      </c>
      <c r="H136" s="144"/>
      <c r="I136" s="144"/>
      <c r="J136" s="143"/>
      <c r="K136" s="142" t="s">
        <v>37</v>
      </c>
      <c r="L136" s="143"/>
      <c r="M136" s="142" t="s">
        <v>38</v>
      </c>
      <c r="N136" s="144"/>
      <c r="O136" s="143"/>
      <c r="P136" s="142" t="s">
        <v>41</v>
      </c>
      <c r="Q136" s="144"/>
      <c r="R136" s="143"/>
      <c r="S136" s="136" t="s">
        <v>39</v>
      </c>
      <c r="T136" s="91"/>
      <c r="U136" s="154" t="s">
        <v>42</v>
      </c>
      <c r="V136" s="156" t="s">
        <v>43</v>
      </c>
      <c r="W136" s="158" t="s">
        <v>44</v>
      </c>
    </row>
    <row r="137" spans="6:23" ht="15.75" thickBot="1" x14ac:dyDescent="0.3">
      <c r="F137" s="45" t="s">
        <v>22</v>
      </c>
      <c r="G137" s="14" t="s">
        <v>18</v>
      </c>
      <c r="H137" s="76" t="s">
        <v>49</v>
      </c>
      <c r="I137" s="15" t="s">
        <v>48</v>
      </c>
      <c r="J137" s="35" t="s">
        <v>35</v>
      </c>
      <c r="K137" s="14" t="s">
        <v>20</v>
      </c>
      <c r="L137" s="16" t="s">
        <v>45</v>
      </c>
      <c r="M137" s="15" t="s">
        <v>19</v>
      </c>
      <c r="N137" s="36" t="s">
        <v>12</v>
      </c>
      <c r="O137" s="35" t="s">
        <v>13</v>
      </c>
      <c r="P137" s="93" t="s">
        <v>13</v>
      </c>
      <c r="Q137" s="88" t="s">
        <v>40</v>
      </c>
      <c r="R137" s="16" t="s">
        <v>19</v>
      </c>
      <c r="S137" s="137"/>
      <c r="T137" s="92"/>
      <c r="U137" s="155"/>
      <c r="V137" s="157"/>
      <c r="W137" s="159"/>
    </row>
    <row r="138" spans="6:23" x14ac:dyDescent="0.25">
      <c r="F138" s="18" t="s">
        <v>23</v>
      </c>
      <c r="G138" s="32">
        <v>4800</v>
      </c>
      <c r="H138" s="57">
        <v>0</v>
      </c>
      <c r="I138" s="23">
        <v>0</v>
      </c>
      <c r="J138" s="24">
        <v>0</v>
      </c>
      <c r="K138" s="38">
        <v>0</v>
      </c>
      <c r="L138" s="39">
        <v>0</v>
      </c>
      <c r="M138" s="33">
        <v>0</v>
      </c>
      <c r="N138" s="32">
        <f>-0.03-15.42-15.42+30.87</f>
        <v>0</v>
      </c>
      <c r="O138" s="34">
        <f>12*4</f>
        <v>48</v>
      </c>
      <c r="P138" s="86">
        <f>O138</f>
        <v>48</v>
      </c>
      <c r="Q138" s="33">
        <f>P138</f>
        <v>48</v>
      </c>
      <c r="R138" s="39">
        <f t="shared" ref="R138:R149" si="69">M138</f>
        <v>0</v>
      </c>
      <c r="S138" s="113">
        <f t="shared" ref="S138:S146" si="70">G138+H138+K138-M138</f>
        <v>4800</v>
      </c>
      <c r="T138" s="112"/>
      <c r="U138" s="38">
        <f t="shared" ref="U138:U149" si="71">SUM(G138:J138)+L138-SUM(M138:O138)</f>
        <v>4752</v>
      </c>
      <c r="V138" s="71">
        <v>0</v>
      </c>
      <c r="W138" s="78">
        <f>U138-V138</f>
        <v>4752</v>
      </c>
    </row>
    <row r="139" spans="6:23" x14ac:dyDescent="0.25">
      <c r="F139" s="19" t="s">
        <v>24</v>
      </c>
      <c r="G139" s="22">
        <f>1200*4</f>
        <v>4800</v>
      </c>
      <c r="H139" s="68">
        <v>0</v>
      </c>
      <c r="I139" s="23">
        <v>0</v>
      </c>
      <c r="J139" s="24">
        <v>0</v>
      </c>
      <c r="K139" s="38">
        <v>0</v>
      </c>
      <c r="L139" s="41">
        <v>0</v>
      </c>
      <c r="M139" s="23">
        <v>0</v>
      </c>
      <c r="N139" s="22">
        <v>0</v>
      </c>
      <c r="O139" s="24">
        <f>12*4</f>
        <v>48</v>
      </c>
      <c r="P139" s="87">
        <f>O139</f>
        <v>48</v>
      </c>
      <c r="Q139" s="23">
        <f>P139</f>
        <v>48</v>
      </c>
      <c r="R139" s="39">
        <f t="shared" si="69"/>
        <v>0</v>
      </c>
      <c r="S139" s="113">
        <f t="shared" si="70"/>
        <v>4800</v>
      </c>
      <c r="T139" s="53"/>
      <c r="U139" s="38">
        <f t="shared" si="71"/>
        <v>4752</v>
      </c>
      <c r="V139" s="72">
        <v>0</v>
      </c>
      <c r="W139" s="56">
        <f t="shared" ref="W139:W149" si="72">U139-V139</f>
        <v>4752</v>
      </c>
    </row>
    <row r="140" spans="6:23" x14ac:dyDescent="0.25">
      <c r="F140" s="19" t="s">
        <v>25</v>
      </c>
      <c r="G140" s="22">
        <f>1200*5</f>
        <v>6000</v>
      </c>
      <c r="H140" s="68">
        <v>0</v>
      </c>
      <c r="I140" s="23">
        <v>0</v>
      </c>
      <c r="J140" s="24">
        <v>0</v>
      </c>
      <c r="K140" s="38">
        <v>0</v>
      </c>
      <c r="L140" s="41">
        <v>0</v>
      </c>
      <c r="M140" s="23">
        <v>0</v>
      </c>
      <c r="N140" s="22">
        <f>0</f>
        <v>0</v>
      </c>
      <c r="O140" s="24">
        <f>12*5</f>
        <v>60</v>
      </c>
      <c r="P140" s="87">
        <f t="shared" ref="P140:Q140" si="73">O140</f>
        <v>60</v>
      </c>
      <c r="Q140" s="23">
        <f t="shared" si="73"/>
        <v>60</v>
      </c>
      <c r="R140" s="39">
        <f t="shared" si="69"/>
        <v>0</v>
      </c>
      <c r="S140" s="113">
        <f t="shared" si="70"/>
        <v>6000</v>
      </c>
      <c r="T140" s="53"/>
      <c r="U140" s="38">
        <f t="shared" si="71"/>
        <v>5940</v>
      </c>
      <c r="V140" s="72">
        <v>0</v>
      </c>
      <c r="W140" s="56">
        <f t="shared" si="72"/>
        <v>5940</v>
      </c>
    </row>
    <row r="141" spans="6:23" x14ac:dyDescent="0.25">
      <c r="F141" s="19" t="s">
        <v>26</v>
      </c>
      <c r="G141" s="22">
        <f>1200*3+1440</f>
        <v>5040</v>
      </c>
      <c r="H141" s="68">
        <f>360+180</f>
        <v>540</v>
      </c>
      <c r="I141" s="23">
        <v>0</v>
      </c>
      <c r="J141" s="24">
        <v>0</v>
      </c>
      <c r="K141" s="38">
        <v>0</v>
      </c>
      <c r="L141" s="41">
        <v>0</v>
      </c>
      <c r="M141" s="23">
        <v>0</v>
      </c>
      <c r="N141" s="22">
        <v>0</v>
      </c>
      <c r="O141" s="24">
        <f>15.6+16.2+12+12</f>
        <v>55.8</v>
      </c>
      <c r="P141" s="87">
        <f t="shared" ref="P141:Q141" si="74">O141</f>
        <v>55.8</v>
      </c>
      <c r="Q141" s="23">
        <f t="shared" si="74"/>
        <v>55.8</v>
      </c>
      <c r="R141" s="39">
        <f t="shared" si="69"/>
        <v>0</v>
      </c>
      <c r="S141" s="113">
        <f t="shared" si="70"/>
        <v>5580</v>
      </c>
      <c r="T141" s="53"/>
      <c r="U141" s="38">
        <f t="shared" si="71"/>
        <v>5524.2</v>
      </c>
      <c r="V141" s="72">
        <v>0</v>
      </c>
      <c r="W141" s="56">
        <f t="shared" si="72"/>
        <v>5524.2</v>
      </c>
    </row>
    <row r="142" spans="6:23" x14ac:dyDescent="0.25">
      <c r="F142" s="19" t="s">
        <v>27</v>
      </c>
      <c r="G142" s="22">
        <f>1200*5</f>
        <v>6000</v>
      </c>
      <c r="H142" s="68">
        <f>373.5+360</f>
        <v>733.5</v>
      </c>
      <c r="I142" s="23">
        <v>0</v>
      </c>
      <c r="J142" s="24">
        <v>0</v>
      </c>
      <c r="K142" s="38">
        <v>0</v>
      </c>
      <c r="L142" s="41">
        <v>0</v>
      </c>
      <c r="M142" s="23">
        <v>0</v>
      </c>
      <c r="N142" s="22">
        <v>0</v>
      </c>
      <c r="O142" s="24">
        <f>15.74+15.6+12+12+12</f>
        <v>67.34</v>
      </c>
      <c r="P142" s="87">
        <f t="shared" ref="P142:Q142" si="75">O142</f>
        <v>67.34</v>
      </c>
      <c r="Q142" s="23">
        <f t="shared" si="75"/>
        <v>67.34</v>
      </c>
      <c r="R142" s="39">
        <f t="shared" si="69"/>
        <v>0</v>
      </c>
      <c r="S142" s="113">
        <f t="shared" si="70"/>
        <v>6733.5</v>
      </c>
      <c r="T142" s="53"/>
      <c r="U142" s="38">
        <f t="shared" si="71"/>
        <v>6666.16</v>
      </c>
      <c r="V142" s="72">
        <f>1188*3+712.8</f>
        <v>4276.8</v>
      </c>
      <c r="W142" s="56">
        <f t="shared" si="72"/>
        <v>2389.3599999999997</v>
      </c>
    </row>
    <row r="143" spans="6:23" x14ac:dyDescent="0.25">
      <c r="F143" s="19" t="s">
        <v>28</v>
      </c>
      <c r="G143" s="22">
        <f>1200*4</f>
        <v>4800</v>
      </c>
      <c r="H143" s="68">
        <f>315+315+427.5</f>
        <v>1057.5</v>
      </c>
      <c r="I143" s="23">
        <v>0</v>
      </c>
      <c r="J143" s="24">
        <v>0</v>
      </c>
      <c r="K143" s="38">
        <v>0</v>
      </c>
      <c r="L143" s="41">
        <v>0</v>
      </c>
      <c r="M143" s="23">
        <v>0</v>
      </c>
      <c r="N143" s="22">
        <f>41.31-15.45+41.28+41.03</f>
        <v>108.17</v>
      </c>
      <c r="O143" s="24">
        <f>15.15+12+15.15+16.28</f>
        <v>58.58</v>
      </c>
      <c r="P143" s="87">
        <f t="shared" ref="P143:Q143" si="76">O143</f>
        <v>58.58</v>
      </c>
      <c r="Q143" s="23">
        <f t="shared" si="76"/>
        <v>58.58</v>
      </c>
      <c r="R143" s="39">
        <f t="shared" si="69"/>
        <v>0</v>
      </c>
      <c r="S143" s="113">
        <f t="shared" si="70"/>
        <v>5857.5</v>
      </c>
      <c r="T143" s="53"/>
      <c r="U143" s="38">
        <f t="shared" si="71"/>
        <v>5690.75</v>
      </c>
      <c r="V143" s="72">
        <f>1483.62+1483.59+1483.6+1502.02+1188</f>
        <v>7140.83</v>
      </c>
      <c r="W143" s="56">
        <f t="shared" si="72"/>
        <v>-1450.08</v>
      </c>
    </row>
    <row r="144" spans="6:23" x14ac:dyDescent="0.25">
      <c r="F144" s="19" t="s">
        <v>29</v>
      </c>
      <c r="G144" s="22">
        <f>1200*4</f>
        <v>4800</v>
      </c>
      <c r="H144" s="68">
        <f>321.75+450+360</f>
        <v>1131.75</v>
      </c>
      <c r="I144" s="23">
        <v>0</v>
      </c>
      <c r="J144" s="24">
        <v>0</v>
      </c>
      <c r="K144" s="38">
        <v>0</v>
      </c>
      <c r="L144" s="41">
        <v>0</v>
      </c>
      <c r="M144" s="23">
        <v>0</v>
      </c>
      <c r="N144" s="22">
        <f>42.46+65.6+49.38-15.4</f>
        <v>142.04</v>
      </c>
      <c r="O144" s="24">
        <f>15.22+16.5+15.6+12</f>
        <v>59.32</v>
      </c>
      <c r="P144" s="87">
        <f t="shared" ref="P144:Q144" si="77">O144</f>
        <v>59.32</v>
      </c>
      <c r="Q144" s="23">
        <f t="shared" si="77"/>
        <v>59.32</v>
      </c>
      <c r="R144" s="39">
        <f t="shared" si="69"/>
        <v>0</v>
      </c>
      <c r="S144" s="113">
        <f t="shared" si="70"/>
        <v>5931.75</v>
      </c>
      <c r="T144" s="53"/>
      <c r="U144" s="38">
        <f t="shared" si="71"/>
        <v>5730.39</v>
      </c>
      <c r="V144" s="72">
        <f>1183.57+1183.62+1483.61+1191.97</f>
        <v>5042.7699999999995</v>
      </c>
      <c r="W144" s="56">
        <f t="shared" si="72"/>
        <v>687.6200000000008</v>
      </c>
    </row>
    <row r="145" spans="6:23" x14ac:dyDescent="0.25">
      <c r="F145" s="19" t="s">
        <v>30</v>
      </c>
      <c r="G145" s="22">
        <f>1200*5</f>
        <v>6000</v>
      </c>
      <c r="H145" s="68">
        <f>337.5+292.5+360+450</f>
        <v>1440</v>
      </c>
      <c r="I145" s="23">
        <v>0</v>
      </c>
      <c r="J145" s="24">
        <v>0</v>
      </c>
      <c r="K145" s="38">
        <v>0</v>
      </c>
      <c r="L145" s="41">
        <v>258.13</v>
      </c>
      <c r="M145" s="23">
        <v>0</v>
      </c>
      <c r="N145" s="22">
        <f>-15.43+45.37+37.27+49.4+65.53</f>
        <v>182.14000000000001</v>
      </c>
      <c r="O145" s="24">
        <f>12+15.38+14.93+15.6+16.5</f>
        <v>74.41</v>
      </c>
      <c r="P145" s="87">
        <f t="shared" ref="P145:Q145" si="78">O145</f>
        <v>74.41</v>
      </c>
      <c r="Q145" s="23">
        <f t="shared" si="78"/>
        <v>74.41</v>
      </c>
      <c r="R145" s="39">
        <f t="shared" si="69"/>
        <v>0</v>
      </c>
      <c r="S145" s="113">
        <f t="shared" si="70"/>
        <v>7440</v>
      </c>
      <c r="T145" s="53"/>
      <c r="U145" s="38">
        <f t="shared" si="71"/>
        <v>7441.58</v>
      </c>
      <c r="V145" s="72">
        <f>1183.57+1183.64+1238.27+1189.42+1402.31</f>
        <v>6197.2099999999991</v>
      </c>
      <c r="W145" s="56">
        <f t="shared" si="72"/>
        <v>1244.3700000000008</v>
      </c>
    </row>
    <row r="146" spans="6:23" x14ac:dyDescent="0.25">
      <c r="F146" s="19" t="s">
        <v>31</v>
      </c>
      <c r="G146" s="22">
        <f>1200*4</f>
        <v>4800</v>
      </c>
      <c r="H146" s="68">
        <f>360+472.5</f>
        <v>832.5</v>
      </c>
      <c r="I146" s="23">
        <v>0</v>
      </c>
      <c r="J146" s="24">
        <v>0</v>
      </c>
      <c r="K146" s="38">
        <v>0</v>
      </c>
      <c r="L146" s="41">
        <v>0</v>
      </c>
      <c r="M146" s="23">
        <v>0</v>
      </c>
      <c r="N146" s="122">
        <f>49.39-15.46+15.42+69.58</f>
        <v>118.93</v>
      </c>
      <c r="O146" s="24">
        <f>15.6+12+12+16.73</f>
        <v>56.33</v>
      </c>
      <c r="P146" s="87">
        <f t="shared" ref="P146:Q146" si="79">O146</f>
        <v>56.33</v>
      </c>
      <c r="Q146" s="23">
        <f t="shared" si="79"/>
        <v>56.33</v>
      </c>
      <c r="R146" s="39">
        <f t="shared" si="69"/>
        <v>0</v>
      </c>
      <c r="S146" s="113">
        <f t="shared" si="70"/>
        <v>5632.5</v>
      </c>
      <c r="T146" s="53"/>
      <c r="U146" s="38">
        <f t="shared" si="71"/>
        <v>5457.24</v>
      </c>
      <c r="V146" s="72">
        <f>1410.73+1120.02+1329.4+1183.63</f>
        <v>5043.7800000000007</v>
      </c>
      <c r="W146" s="56">
        <f t="shared" si="72"/>
        <v>413.45999999999913</v>
      </c>
    </row>
    <row r="147" spans="6:23" x14ac:dyDescent="0.25">
      <c r="F147" s="19" t="s">
        <v>32</v>
      </c>
      <c r="G147" s="22">
        <f>1200*2</f>
        <v>2400</v>
      </c>
      <c r="H147" s="68">
        <v>360</v>
      </c>
      <c r="I147" s="23">
        <v>3600</v>
      </c>
      <c r="J147" s="24">
        <v>5197.88</v>
      </c>
      <c r="K147" s="38">
        <v>0</v>
      </c>
      <c r="L147" s="41">
        <v>0</v>
      </c>
      <c r="M147" s="23">
        <v>0</v>
      </c>
      <c r="N147" s="22">
        <f>49.37+874.04</f>
        <v>923.41</v>
      </c>
      <c r="O147" s="24">
        <f>99.98+15.6</f>
        <v>115.58</v>
      </c>
      <c r="P147" s="87">
        <f t="shared" ref="P147:Q147" si="80">O147</f>
        <v>115.58</v>
      </c>
      <c r="Q147" s="23">
        <f t="shared" si="80"/>
        <v>115.58</v>
      </c>
      <c r="R147" s="39">
        <f t="shared" si="69"/>
        <v>0</v>
      </c>
      <c r="S147" s="113">
        <f>G147+H147+K147+I147+J147-M147</f>
        <v>11557.880000000001</v>
      </c>
      <c r="T147" s="53"/>
      <c r="U147" s="38">
        <f t="shared" si="71"/>
        <v>10518.890000000001</v>
      </c>
      <c r="V147" s="72">
        <f>285+5445.56+1192.03</f>
        <v>6922.59</v>
      </c>
      <c r="W147" s="56">
        <f t="shared" si="72"/>
        <v>3596.3000000000011</v>
      </c>
    </row>
    <row r="148" spans="6:23" x14ac:dyDescent="0.25">
      <c r="F148" s="19" t="s">
        <v>33</v>
      </c>
      <c r="G148" s="125">
        <f>1200*3+960</f>
        <v>4560</v>
      </c>
      <c r="H148" s="68">
        <v>0</v>
      </c>
      <c r="I148" s="23">
        <v>0</v>
      </c>
      <c r="J148" s="24">
        <v>0</v>
      </c>
      <c r="K148" s="38">
        <v>0</v>
      </c>
      <c r="L148" s="41">
        <v>0</v>
      </c>
      <c r="M148" s="23">
        <v>0</v>
      </c>
      <c r="N148" s="22">
        <f>-15.45-15.37-15.4-58.68</f>
        <v>-104.9</v>
      </c>
      <c r="O148" s="24">
        <f>9.6+12*3</f>
        <v>45.6</v>
      </c>
      <c r="P148" s="87">
        <f t="shared" ref="P148:Q148" si="81">O148</f>
        <v>45.6</v>
      </c>
      <c r="Q148" s="23">
        <f t="shared" si="81"/>
        <v>45.6</v>
      </c>
      <c r="R148" s="39">
        <f t="shared" si="69"/>
        <v>0</v>
      </c>
      <c r="S148" s="113">
        <f>G148+K148-M148</f>
        <v>4560</v>
      </c>
      <c r="T148" s="53"/>
      <c r="U148" s="38">
        <f t="shared" si="71"/>
        <v>4619.3</v>
      </c>
      <c r="V148" s="72">
        <f>991.99+1191.98+1191.98+1140.74</f>
        <v>4516.6900000000005</v>
      </c>
      <c r="W148" s="56">
        <f t="shared" si="72"/>
        <v>102.60999999999967</v>
      </c>
    </row>
    <row r="149" spans="6:23" ht="15.75" thickBot="1" x14ac:dyDescent="0.3">
      <c r="F149" s="20" t="s">
        <v>34</v>
      </c>
      <c r="G149" s="26">
        <f>1200*4</f>
        <v>4800</v>
      </c>
      <c r="H149" s="69">
        <v>0</v>
      </c>
      <c r="I149" s="27">
        <v>0</v>
      </c>
      <c r="J149" s="28">
        <v>0</v>
      </c>
      <c r="K149" s="38">
        <v>0</v>
      </c>
      <c r="L149" s="43">
        <v>0</v>
      </c>
      <c r="M149" s="27">
        <v>0</v>
      </c>
      <c r="N149" s="26">
        <f>-15.3-15.47-15.41</f>
        <v>-46.180000000000007</v>
      </c>
      <c r="O149" s="28">
        <f>12*4</f>
        <v>48</v>
      </c>
      <c r="P149" s="80">
        <f t="shared" ref="P149:Q149" si="82">O149</f>
        <v>48</v>
      </c>
      <c r="Q149" s="27">
        <f t="shared" si="82"/>
        <v>48</v>
      </c>
      <c r="R149" s="39">
        <f t="shared" si="69"/>
        <v>0</v>
      </c>
      <c r="S149" s="112">
        <f>G149+K149-M149</f>
        <v>4800</v>
      </c>
      <c r="T149" s="115"/>
      <c r="U149" s="42">
        <f t="shared" si="71"/>
        <v>4798.18</v>
      </c>
      <c r="V149" s="73">
        <f>992+992.18+991.9+992.01</f>
        <v>3968.09</v>
      </c>
      <c r="W149" s="56">
        <f t="shared" si="72"/>
        <v>830.09000000000015</v>
      </c>
    </row>
    <row r="150" spans="6:23" ht="15.75" thickBot="1" x14ac:dyDescent="0.3">
      <c r="G150" s="29">
        <f t="shared" ref="G150" si="83">SUM(G138:G149)</f>
        <v>58800</v>
      </c>
      <c r="H150" s="59">
        <f>SUM(H138:H149)</f>
        <v>6095.25</v>
      </c>
      <c r="I150" s="30">
        <f>SUM(I138:I149)</f>
        <v>3600</v>
      </c>
      <c r="J150" s="31">
        <f t="shared" ref="J150:U150" si="84">SUM(J138:J149)</f>
        <v>5197.88</v>
      </c>
      <c r="K150" s="29">
        <f t="shared" si="84"/>
        <v>0</v>
      </c>
      <c r="L150" s="44">
        <f t="shared" si="84"/>
        <v>258.13</v>
      </c>
      <c r="M150" s="30">
        <f t="shared" si="84"/>
        <v>0</v>
      </c>
      <c r="N150" s="37">
        <f t="shared" si="84"/>
        <v>1323.61</v>
      </c>
      <c r="O150" s="31">
        <f t="shared" si="84"/>
        <v>736.96</v>
      </c>
      <c r="P150" s="81">
        <f t="shared" si="84"/>
        <v>736.96</v>
      </c>
      <c r="Q150" s="66">
        <f t="shared" si="84"/>
        <v>736.96</v>
      </c>
      <c r="R150" s="44">
        <f t="shared" si="84"/>
        <v>0</v>
      </c>
      <c r="S150" s="54">
        <f t="shared" si="84"/>
        <v>73693.13</v>
      </c>
      <c r="T150" s="117"/>
      <c r="U150" s="55">
        <f t="shared" si="84"/>
        <v>71890.69</v>
      </c>
      <c r="V150" s="74">
        <f>SUM(V138:V149)</f>
        <v>43108.759999999995</v>
      </c>
      <c r="W150" s="75"/>
    </row>
    <row r="151" spans="6:23" ht="15.75" thickBot="1" x14ac:dyDescent="0.3">
      <c r="G151" s="150">
        <f>SUM(G150:H150)</f>
        <v>64895.25</v>
      </c>
      <c r="H151" s="151"/>
      <c r="I151" s="152">
        <f>SUM(I150:J150)</f>
        <v>8797.880000000001</v>
      </c>
      <c r="J151" s="153"/>
      <c r="K151" s="95">
        <v>3810</v>
      </c>
      <c r="N151" s="95">
        <v>4102</v>
      </c>
      <c r="O151" s="163">
        <f>SUM(O150:P150)</f>
        <v>1473.92</v>
      </c>
      <c r="P151" s="164"/>
      <c r="S151" s="95">
        <v>3698</v>
      </c>
      <c r="T151" s="95"/>
    </row>
    <row r="152" spans="6:23" x14ac:dyDescent="0.25">
      <c r="G152" s="160">
        <v>3601</v>
      </c>
      <c r="H152" s="160"/>
      <c r="I152" s="161">
        <v>3605</v>
      </c>
      <c r="J152" s="161"/>
      <c r="O152" s="162">
        <v>4141</v>
      </c>
      <c r="P152" s="162"/>
    </row>
    <row r="154" spans="6:23" ht="16.5" thickBot="1" x14ac:dyDescent="0.3">
      <c r="F154" s="46" t="s">
        <v>59</v>
      </c>
      <c r="G154" s="12"/>
      <c r="H154" s="12"/>
      <c r="I154" s="12" t="s">
        <v>64</v>
      </c>
    </row>
    <row r="155" spans="6:23" ht="16.5" thickBot="1" x14ac:dyDescent="0.3">
      <c r="F155" s="121" t="s">
        <v>63</v>
      </c>
      <c r="G155" s="142" t="s">
        <v>36</v>
      </c>
      <c r="H155" s="144"/>
      <c r="I155" s="144"/>
      <c r="J155" s="143"/>
      <c r="K155" s="142" t="s">
        <v>37</v>
      </c>
      <c r="L155" s="143"/>
      <c r="M155" s="142" t="s">
        <v>38</v>
      </c>
      <c r="N155" s="144"/>
      <c r="O155" s="143"/>
      <c r="P155" s="142" t="s">
        <v>41</v>
      </c>
      <c r="Q155" s="144"/>
      <c r="R155" s="143"/>
      <c r="S155" s="136" t="s">
        <v>39</v>
      </c>
      <c r="T155" s="91"/>
      <c r="U155" s="154" t="s">
        <v>42</v>
      </c>
      <c r="V155" s="156" t="s">
        <v>43</v>
      </c>
      <c r="W155" s="158" t="s">
        <v>44</v>
      </c>
    </row>
    <row r="156" spans="6:23" ht="15.75" thickBot="1" x14ac:dyDescent="0.3">
      <c r="F156" s="45" t="s">
        <v>22</v>
      </c>
      <c r="G156" s="14" t="s">
        <v>18</v>
      </c>
      <c r="H156" s="76" t="s">
        <v>49</v>
      </c>
      <c r="I156" s="15" t="s">
        <v>48</v>
      </c>
      <c r="J156" s="35" t="s">
        <v>35</v>
      </c>
      <c r="K156" s="14" t="s">
        <v>20</v>
      </c>
      <c r="L156" s="16" t="s">
        <v>45</v>
      </c>
      <c r="M156" s="15" t="s">
        <v>19</v>
      </c>
      <c r="N156" s="36" t="s">
        <v>12</v>
      </c>
      <c r="O156" s="35" t="s">
        <v>13</v>
      </c>
      <c r="P156" s="93" t="s">
        <v>13</v>
      </c>
      <c r="Q156" s="88" t="s">
        <v>40</v>
      </c>
      <c r="R156" s="16" t="s">
        <v>19</v>
      </c>
      <c r="S156" s="137"/>
      <c r="T156" s="92"/>
      <c r="U156" s="155"/>
      <c r="V156" s="157"/>
      <c r="W156" s="159"/>
    </row>
    <row r="157" spans="6:23" x14ac:dyDescent="0.25">
      <c r="F157" s="18" t="s">
        <v>23</v>
      </c>
      <c r="G157" s="32">
        <v>0</v>
      </c>
      <c r="H157" s="57">
        <v>0</v>
      </c>
      <c r="I157" s="23">
        <v>0</v>
      </c>
      <c r="J157" s="24">
        <v>0</v>
      </c>
      <c r="K157" s="38">
        <v>0</v>
      </c>
      <c r="L157" s="39">
        <v>0</v>
      </c>
      <c r="M157" s="33">
        <v>0</v>
      </c>
      <c r="N157" s="32">
        <v>0</v>
      </c>
      <c r="O157" s="34">
        <v>0</v>
      </c>
      <c r="P157" s="86">
        <f>O157</f>
        <v>0</v>
      </c>
      <c r="Q157" s="33">
        <f>P157</f>
        <v>0</v>
      </c>
      <c r="R157" s="39">
        <f t="shared" ref="R157:R168" si="85">M157</f>
        <v>0</v>
      </c>
      <c r="S157" s="94">
        <f t="shared" ref="S157:S161" si="86">G157+H157+K157-M157</f>
        <v>0</v>
      </c>
      <c r="T157" s="53"/>
      <c r="U157" s="38">
        <f>SUM(G157:J157)+L157-SUM(M157:O157)</f>
        <v>0</v>
      </c>
      <c r="V157" s="71">
        <v>0</v>
      </c>
      <c r="W157" s="78">
        <f>U157-V157</f>
        <v>0</v>
      </c>
    </row>
    <row r="158" spans="6:23" x14ac:dyDescent="0.25">
      <c r="F158" s="19" t="s">
        <v>24</v>
      </c>
      <c r="G158" s="22">
        <v>0</v>
      </c>
      <c r="H158" s="68">
        <v>0</v>
      </c>
      <c r="I158" s="23">
        <v>0</v>
      </c>
      <c r="J158" s="24">
        <v>0</v>
      </c>
      <c r="K158" s="38">
        <v>0</v>
      </c>
      <c r="L158" s="41">
        <v>0</v>
      </c>
      <c r="M158" s="23">
        <v>0</v>
      </c>
      <c r="N158" s="22">
        <v>0</v>
      </c>
      <c r="O158" s="24">
        <v>0</v>
      </c>
      <c r="P158" s="87">
        <f t="shared" ref="P158:Q168" si="87">O158</f>
        <v>0</v>
      </c>
      <c r="Q158" s="23">
        <f t="shared" si="87"/>
        <v>0</v>
      </c>
      <c r="R158" s="39">
        <f t="shared" si="85"/>
        <v>0</v>
      </c>
      <c r="S158" s="94">
        <f t="shared" si="86"/>
        <v>0</v>
      </c>
      <c r="T158" s="53"/>
      <c r="U158" s="38">
        <f>SUM(G158:J158)+L158-SUM(M158:O158)</f>
        <v>0</v>
      </c>
      <c r="V158" s="72">
        <v>0</v>
      </c>
      <c r="W158" s="56">
        <f t="shared" ref="W158:W168" si="88">U158-V158</f>
        <v>0</v>
      </c>
    </row>
    <row r="159" spans="6:23" x14ac:dyDescent="0.25">
      <c r="F159" s="19" t="s">
        <v>25</v>
      </c>
      <c r="G159" s="22">
        <v>0</v>
      </c>
      <c r="H159" s="68">
        <v>0</v>
      </c>
      <c r="I159" s="23">
        <v>0</v>
      </c>
      <c r="J159" s="24">
        <v>0</v>
      </c>
      <c r="K159" s="38">
        <v>0</v>
      </c>
      <c r="L159" s="41">
        <v>0</v>
      </c>
      <c r="M159" s="23">
        <v>0</v>
      </c>
      <c r="N159" s="22">
        <v>0</v>
      </c>
      <c r="O159" s="24">
        <v>0</v>
      </c>
      <c r="P159" s="87">
        <f t="shared" si="87"/>
        <v>0</v>
      </c>
      <c r="Q159" s="23">
        <f t="shared" si="87"/>
        <v>0</v>
      </c>
      <c r="R159" s="39">
        <f t="shared" si="85"/>
        <v>0</v>
      </c>
      <c r="S159" s="94">
        <f t="shared" si="86"/>
        <v>0</v>
      </c>
      <c r="T159" s="53"/>
      <c r="U159" s="38">
        <f>SUM(G159:J159)+L159-SUM(M159:O159)</f>
        <v>0</v>
      </c>
      <c r="V159" s="72">
        <v>0</v>
      </c>
      <c r="W159" s="56">
        <f t="shared" si="88"/>
        <v>0</v>
      </c>
    </row>
    <row r="160" spans="6:23" x14ac:dyDescent="0.25">
      <c r="F160" s="19" t="s">
        <v>26</v>
      </c>
      <c r="G160" s="22">
        <v>0</v>
      </c>
      <c r="H160" s="68">
        <v>0</v>
      </c>
      <c r="I160" s="23">
        <v>0</v>
      </c>
      <c r="J160" s="24">
        <v>0</v>
      </c>
      <c r="K160" s="38">
        <v>0</v>
      </c>
      <c r="L160" s="41">
        <v>0</v>
      </c>
      <c r="M160" s="23">
        <v>0</v>
      </c>
      <c r="N160" s="22">
        <v>0</v>
      </c>
      <c r="O160" s="24">
        <v>0</v>
      </c>
      <c r="P160" s="87">
        <f t="shared" si="87"/>
        <v>0</v>
      </c>
      <c r="Q160" s="23">
        <f t="shared" si="87"/>
        <v>0</v>
      </c>
      <c r="R160" s="39">
        <f t="shared" si="85"/>
        <v>0</v>
      </c>
      <c r="S160" s="94">
        <f t="shared" si="86"/>
        <v>0</v>
      </c>
      <c r="T160" s="53"/>
      <c r="U160" s="38">
        <f>SUM(G160:J160)+L160-SUM(M160:O160)</f>
        <v>0</v>
      </c>
      <c r="V160" s="72">
        <v>0</v>
      </c>
      <c r="W160" s="56">
        <f t="shared" si="88"/>
        <v>0</v>
      </c>
    </row>
    <row r="161" spans="6:23" x14ac:dyDescent="0.25">
      <c r="F161" s="19" t="s">
        <v>27</v>
      </c>
      <c r="G161" s="22">
        <v>0</v>
      </c>
      <c r="H161" s="68">
        <v>0</v>
      </c>
      <c r="I161" s="23">
        <v>0</v>
      </c>
      <c r="J161" s="24">
        <v>0</v>
      </c>
      <c r="K161" s="38">
        <v>0</v>
      </c>
      <c r="L161" s="41">
        <v>0</v>
      </c>
      <c r="M161" s="23">
        <v>0</v>
      </c>
      <c r="N161" s="22">
        <v>0</v>
      </c>
      <c r="O161" s="24">
        <v>0</v>
      </c>
      <c r="P161" s="87">
        <f t="shared" si="87"/>
        <v>0</v>
      </c>
      <c r="Q161" s="23">
        <f t="shared" si="87"/>
        <v>0</v>
      </c>
      <c r="R161" s="39">
        <f t="shared" si="85"/>
        <v>0</v>
      </c>
      <c r="S161" s="94">
        <f t="shared" si="86"/>
        <v>0</v>
      </c>
      <c r="T161" s="53"/>
      <c r="U161" s="38">
        <f>SUM(G161:J161)+L161-SUM(M161:O161)</f>
        <v>0</v>
      </c>
      <c r="V161" s="72">
        <v>0</v>
      </c>
      <c r="W161" s="56">
        <f t="shared" si="88"/>
        <v>0</v>
      </c>
    </row>
    <row r="162" spans="6:23" x14ac:dyDescent="0.25">
      <c r="F162" s="19" t="s">
        <v>28</v>
      </c>
      <c r="G162" s="22">
        <v>0</v>
      </c>
      <c r="H162" s="68">
        <v>0</v>
      </c>
      <c r="I162" s="23">
        <v>0</v>
      </c>
      <c r="J162" s="24">
        <v>0</v>
      </c>
      <c r="K162" s="38">
        <v>0</v>
      </c>
      <c r="L162" s="41">
        <v>0</v>
      </c>
      <c r="M162" s="23">
        <v>0</v>
      </c>
      <c r="N162" s="22">
        <v>0</v>
      </c>
      <c r="O162" s="24">
        <v>0</v>
      </c>
      <c r="P162" s="87">
        <f t="shared" ref="P162:P167" si="89">O162</f>
        <v>0</v>
      </c>
      <c r="Q162" s="23">
        <f t="shared" ref="Q162:Q167" si="90">P162</f>
        <v>0</v>
      </c>
      <c r="R162" s="39">
        <f t="shared" ref="R162:R167" si="91">M162</f>
        <v>0</v>
      </c>
      <c r="S162" s="94">
        <f t="shared" ref="S162:S167" si="92">G162+H162+K162-M162</f>
        <v>0</v>
      </c>
      <c r="T162" s="53"/>
      <c r="U162" s="38">
        <f t="shared" ref="U162:U167" si="93">SUM(G162:J162)+L162-SUM(M162:O162)</f>
        <v>0</v>
      </c>
      <c r="V162" s="72">
        <v>0</v>
      </c>
      <c r="W162" s="56">
        <f t="shared" ref="W162:W167" si="94">U162-V162</f>
        <v>0</v>
      </c>
    </row>
    <row r="163" spans="6:23" x14ac:dyDescent="0.25">
      <c r="F163" s="19" t="s">
        <v>29</v>
      </c>
      <c r="G163" s="22">
        <f>800+320+320</f>
        <v>1440</v>
      </c>
      <c r="H163" s="68">
        <f>420+120</f>
        <v>540</v>
      </c>
      <c r="I163" s="23">
        <v>0</v>
      </c>
      <c r="J163" s="24">
        <v>0</v>
      </c>
      <c r="K163" s="38">
        <v>0</v>
      </c>
      <c r="L163" s="41">
        <v>0</v>
      </c>
      <c r="M163" s="23">
        <v>0</v>
      </c>
      <c r="N163" s="22">
        <v>0</v>
      </c>
      <c r="O163" s="24">
        <f>12.2+4.4+3.2</f>
        <v>19.8</v>
      </c>
      <c r="P163" s="87">
        <f t="shared" si="89"/>
        <v>19.8</v>
      </c>
      <c r="Q163" s="23">
        <f t="shared" si="90"/>
        <v>19.8</v>
      </c>
      <c r="R163" s="39">
        <f t="shared" si="91"/>
        <v>0</v>
      </c>
      <c r="S163" s="113">
        <f t="shared" si="92"/>
        <v>1980</v>
      </c>
      <c r="T163" s="53"/>
      <c r="U163" s="38">
        <f t="shared" si="93"/>
        <v>1960.2</v>
      </c>
      <c r="V163" s="72">
        <v>0</v>
      </c>
      <c r="W163" s="56">
        <f t="shared" si="94"/>
        <v>1960.2</v>
      </c>
    </row>
    <row r="164" spans="6:23" x14ac:dyDescent="0.25">
      <c r="F164" s="19" t="s">
        <v>30</v>
      </c>
      <c r="G164" s="22">
        <f>800*5</f>
        <v>4000</v>
      </c>
      <c r="H164" s="68">
        <f>240+165+240+270</f>
        <v>915</v>
      </c>
      <c r="I164" s="23">
        <v>0</v>
      </c>
      <c r="J164" s="24">
        <v>0</v>
      </c>
      <c r="K164" s="38">
        <v>0</v>
      </c>
      <c r="L164" s="41">
        <v>0</v>
      </c>
      <c r="M164" s="23">
        <v>0</v>
      </c>
      <c r="N164" s="22">
        <v>0</v>
      </c>
      <c r="O164" s="24">
        <f>8+10.4+9.65+10.4+10.7</f>
        <v>49.149999999999991</v>
      </c>
      <c r="P164" s="87">
        <f t="shared" si="89"/>
        <v>49.149999999999991</v>
      </c>
      <c r="Q164" s="23">
        <f t="shared" si="90"/>
        <v>49.149999999999991</v>
      </c>
      <c r="R164" s="39">
        <f t="shared" si="91"/>
        <v>0</v>
      </c>
      <c r="S164" s="113">
        <f t="shared" si="92"/>
        <v>4915</v>
      </c>
      <c r="T164" s="53"/>
      <c r="U164" s="38">
        <f t="shared" si="93"/>
        <v>4865.8500000000004</v>
      </c>
      <c r="V164" s="72">
        <v>0</v>
      </c>
      <c r="W164" s="56">
        <f t="shared" si="94"/>
        <v>4865.8500000000004</v>
      </c>
    </row>
    <row r="165" spans="6:23" x14ac:dyDescent="0.25">
      <c r="F165" s="19" t="s">
        <v>31</v>
      </c>
      <c r="G165" s="22">
        <f>800*4</f>
        <v>3200</v>
      </c>
      <c r="H165" s="68">
        <f>240+240</f>
        <v>480</v>
      </c>
      <c r="I165" s="23">
        <v>0</v>
      </c>
      <c r="J165" s="24">
        <v>0</v>
      </c>
      <c r="K165" s="38">
        <v>0</v>
      </c>
      <c r="L165" s="41">
        <v>0</v>
      </c>
      <c r="M165" s="23">
        <v>0</v>
      </c>
      <c r="N165" s="22">
        <v>0</v>
      </c>
      <c r="O165" s="24">
        <f>8+10.4+8+10.4</f>
        <v>36.799999999999997</v>
      </c>
      <c r="P165" s="87">
        <f t="shared" si="89"/>
        <v>36.799999999999997</v>
      </c>
      <c r="Q165" s="23">
        <f t="shared" si="90"/>
        <v>36.799999999999997</v>
      </c>
      <c r="R165" s="39">
        <f t="shared" si="91"/>
        <v>0</v>
      </c>
      <c r="S165" s="113">
        <f t="shared" si="92"/>
        <v>3680</v>
      </c>
      <c r="T165" s="53"/>
      <c r="U165" s="38">
        <f t="shared" si="93"/>
        <v>3643.2</v>
      </c>
      <c r="V165" s="72">
        <v>0</v>
      </c>
      <c r="W165" s="56">
        <f t="shared" si="94"/>
        <v>3643.2</v>
      </c>
    </row>
    <row r="166" spans="6:23" x14ac:dyDescent="0.25">
      <c r="F166" s="19" t="s">
        <v>32</v>
      </c>
      <c r="G166" s="22">
        <f>800*2</f>
        <v>1600</v>
      </c>
      <c r="H166" s="68">
        <v>0</v>
      </c>
      <c r="I166" s="23">
        <v>789.74</v>
      </c>
      <c r="J166" s="24">
        <v>1140.28</v>
      </c>
      <c r="K166" s="38">
        <v>0</v>
      </c>
      <c r="L166" s="41">
        <v>0</v>
      </c>
      <c r="M166" s="23">
        <v>0</v>
      </c>
      <c r="N166" s="22">
        <v>0</v>
      </c>
      <c r="O166" s="24">
        <f>27.3+8</f>
        <v>35.299999999999997</v>
      </c>
      <c r="P166" s="87">
        <f t="shared" si="89"/>
        <v>35.299999999999997</v>
      </c>
      <c r="Q166" s="23">
        <f t="shared" si="90"/>
        <v>35.299999999999997</v>
      </c>
      <c r="R166" s="39">
        <f t="shared" si="91"/>
        <v>0</v>
      </c>
      <c r="S166" s="113">
        <f>G166+I166+J166+H166+K166-M166</f>
        <v>3530.0199999999995</v>
      </c>
      <c r="T166" s="53"/>
      <c r="U166" s="38">
        <f t="shared" si="93"/>
        <v>3494.7199999999993</v>
      </c>
      <c r="V166" s="72">
        <v>0</v>
      </c>
      <c r="W166" s="56">
        <f t="shared" si="94"/>
        <v>3494.7199999999993</v>
      </c>
    </row>
    <row r="167" spans="6:23" x14ac:dyDescent="0.25">
      <c r="F167" s="19" t="s">
        <v>33</v>
      </c>
      <c r="G167" s="22">
        <v>800</v>
      </c>
      <c r="H167" s="68">
        <v>0</v>
      </c>
      <c r="I167" s="23">
        <v>0</v>
      </c>
      <c r="J167" s="24">
        <v>0</v>
      </c>
      <c r="K167" s="38">
        <v>0</v>
      </c>
      <c r="L167" s="41">
        <v>0</v>
      </c>
      <c r="M167" s="23">
        <v>0</v>
      </c>
      <c r="N167" s="22">
        <v>0</v>
      </c>
      <c r="O167" s="24">
        <v>8</v>
      </c>
      <c r="P167" s="87">
        <f t="shared" si="89"/>
        <v>8</v>
      </c>
      <c r="Q167" s="23">
        <f t="shared" si="90"/>
        <v>8</v>
      </c>
      <c r="R167" s="39">
        <f t="shared" si="91"/>
        <v>0</v>
      </c>
      <c r="S167" s="113">
        <f t="shared" si="92"/>
        <v>800</v>
      </c>
      <c r="T167" s="53"/>
      <c r="U167" s="38">
        <f t="shared" si="93"/>
        <v>792</v>
      </c>
      <c r="V167" s="72">
        <v>0</v>
      </c>
      <c r="W167" s="56">
        <f t="shared" si="94"/>
        <v>792</v>
      </c>
    </row>
    <row r="168" spans="6:23" ht="15.75" thickBot="1" x14ac:dyDescent="0.3">
      <c r="F168" s="20" t="s">
        <v>34</v>
      </c>
      <c r="G168" s="26">
        <v>0</v>
      </c>
      <c r="H168" s="69">
        <v>0</v>
      </c>
      <c r="I168" s="27">
        <v>0</v>
      </c>
      <c r="J168" s="28">
        <v>0</v>
      </c>
      <c r="K168" s="38">
        <v>0</v>
      </c>
      <c r="L168" s="43">
        <v>0</v>
      </c>
      <c r="M168" s="27">
        <v>0</v>
      </c>
      <c r="N168" s="26">
        <v>0</v>
      </c>
      <c r="O168" s="28">
        <v>0</v>
      </c>
      <c r="P168" s="80">
        <f t="shared" si="87"/>
        <v>0</v>
      </c>
      <c r="Q168" s="27">
        <f t="shared" si="87"/>
        <v>0</v>
      </c>
      <c r="R168" s="39">
        <f t="shared" si="85"/>
        <v>0</v>
      </c>
      <c r="S168" s="53">
        <f>G168+K168-M168</f>
        <v>0</v>
      </c>
      <c r="T168" s="115"/>
      <c r="U168" s="42">
        <f>SUM(G168:J168)+L168-SUM(M168:O168)</f>
        <v>0</v>
      </c>
      <c r="V168" s="73">
        <v>0</v>
      </c>
      <c r="W168" s="56">
        <f t="shared" si="88"/>
        <v>0</v>
      </c>
    </row>
    <row r="169" spans="6:23" ht="15.75" thickBot="1" x14ac:dyDescent="0.3">
      <c r="G169" s="29">
        <f t="shared" ref="G169" si="95">SUM(G157:G168)</f>
        <v>11040</v>
      </c>
      <c r="H169" s="59">
        <f>SUM(H157:H168)</f>
        <v>1935</v>
      </c>
      <c r="I169" s="30">
        <f>SUM(I157:I168)</f>
        <v>789.74</v>
      </c>
      <c r="J169" s="31">
        <f t="shared" ref="J169:U169" si="96">SUM(J157:J168)</f>
        <v>1140.28</v>
      </c>
      <c r="K169" s="29">
        <f t="shared" si="96"/>
        <v>0</v>
      </c>
      <c r="L169" s="44">
        <f t="shared" si="96"/>
        <v>0</v>
      </c>
      <c r="M169" s="30">
        <f t="shared" si="96"/>
        <v>0</v>
      </c>
      <c r="N169" s="37">
        <f t="shared" si="96"/>
        <v>0</v>
      </c>
      <c r="O169" s="31">
        <f t="shared" si="96"/>
        <v>149.04999999999998</v>
      </c>
      <c r="P169" s="81">
        <f t="shared" si="96"/>
        <v>149.04999999999998</v>
      </c>
      <c r="Q169" s="66">
        <f t="shared" si="96"/>
        <v>149.04999999999998</v>
      </c>
      <c r="R169" s="44">
        <f t="shared" si="96"/>
        <v>0</v>
      </c>
      <c r="S169" s="54">
        <f t="shared" si="96"/>
        <v>14905.02</v>
      </c>
      <c r="T169" s="117"/>
      <c r="U169" s="55">
        <f t="shared" si="96"/>
        <v>14755.97</v>
      </c>
      <c r="V169" s="74">
        <f>SUM(V157:V168)</f>
        <v>0</v>
      </c>
      <c r="W169" s="75"/>
    </row>
    <row r="170" spans="6:23" ht="15.75" thickBot="1" x14ac:dyDescent="0.3">
      <c r="G170" s="150">
        <f>SUM(G169:H169)</f>
        <v>12975</v>
      </c>
      <c r="H170" s="151"/>
      <c r="I170" s="152">
        <f>SUM(I169:J169)</f>
        <v>1930.02</v>
      </c>
      <c r="J170" s="153"/>
      <c r="K170" s="95">
        <v>3810</v>
      </c>
      <c r="N170" s="95">
        <v>4102</v>
      </c>
      <c r="O170" s="163">
        <f>SUM(O169:P169)</f>
        <v>298.09999999999997</v>
      </c>
      <c r="P170" s="164"/>
      <c r="S170" s="95">
        <v>3698</v>
      </c>
      <c r="T170" s="95"/>
    </row>
    <row r="171" spans="6:23" x14ac:dyDescent="0.25">
      <c r="G171" s="160">
        <v>3601</v>
      </c>
      <c r="H171" s="160"/>
      <c r="I171" s="161">
        <v>3605</v>
      </c>
      <c r="J171" s="161"/>
      <c r="O171" s="162">
        <v>4141</v>
      </c>
      <c r="P171" s="162"/>
    </row>
    <row r="173" spans="6:23" ht="16.5" thickBot="1" x14ac:dyDescent="0.3">
      <c r="F173" s="46" t="s">
        <v>60</v>
      </c>
      <c r="G173" s="12"/>
      <c r="H173" s="12"/>
      <c r="I173" s="12"/>
    </row>
    <row r="174" spans="6:23" ht="16.5" thickBot="1" x14ac:dyDescent="0.3">
      <c r="F174" s="121" t="s">
        <v>63</v>
      </c>
      <c r="G174" s="142" t="s">
        <v>36</v>
      </c>
      <c r="H174" s="144"/>
      <c r="I174" s="144"/>
      <c r="J174" s="143"/>
      <c r="K174" s="142" t="s">
        <v>37</v>
      </c>
      <c r="L174" s="143"/>
      <c r="M174" s="142" t="s">
        <v>38</v>
      </c>
      <c r="N174" s="144"/>
      <c r="O174" s="143"/>
      <c r="P174" s="142" t="s">
        <v>41</v>
      </c>
      <c r="Q174" s="144"/>
      <c r="R174" s="143"/>
      <c r="S174" s="136" t="s">
        <v>39</v>
      </c>
      <c r="T174" s="91"/>
      <c r="U174" s="154" t="s">
        <v>42</v>
      </c>
      <c r="V174" s="156" t="s">
        <v>43</v>
      </c>
      <c r="W174" s="158" t="s">
        <v>44</v>
      </c>
    </row>
    <row r="175" spans="6:23" ht="15.75" thickBot="1" x14ac:dyDescent="0.3">
      <c r="F175" s="45" t="s">
        <v>22</v>
      </c>
      <c r="G175" s="14" t="s">
        <v>18</v>
      </c>
      <c r="H175" s="76" t="s">
        <v>49</v>
      </c>
      <c r="I175" s="15" t="s">
        <v>48</v>
      </c>
      <c r="J175" s="35" t="s">
        <v>35</v>
      </c>
      <c r="K175" s="14" t="s">
        <v>20</v>
      </c>
      <c r="L175" s="16" t="s">
        <v>45</v>
      </c>
      <c r="M175" s="15" t="s">
        <v>19</v>
      </c>
      <c r="N175" s="36" t="s">
        <v>12</v>
      </c>
      <c r="O175" s="35" t="s">
        <v>13</v>
      </c>
      <c r="P175" s="93" t="s">
        <v>13</v>
      </c>
      <c r="Q175" s="88" t="s">
        <v>40</v>
      </c>
      <c r="R175" s="16" t="s">
        <v>19</v>
      </c>
      <c r="S175" s="137"/>
      <c r="T175" s="92"/>
      <c r="U175" s="155"/>
      <c r="V175" s="157"/>
      <c r="W175" s="159"/>
    </row>
    <row r="176" spans="6:23" x14ac:dyDescent="0.25">
      <c r="F176" s="18" t="s">
        <v>23</v>
      </c>
      <c r="G176" s="32">
        <f>800*4</f>
        <v>3200</v>
      </c>
      <c r="H176" s="57">
        <v>0</v>
      </c>
      <c r="I176" s="23">
        <v>0</v>
      </c>
      <c r="J176" s="24">
        <v>0</v>
      </c>
      <c r="K176" s="38">
        <v>0</v>
      </c>
      <c r="L176" s="39">
        <v>0</v>
      </c>
      <c r="M176" s="33">
        <v>0</v>
      </c>
      <c r="N176" s="32">
        <v>0</v>
      </c>
      <c r="O176" s="34">
        <f>8*4</f>
        <v>32</v>
      </c>
      <c r="P176" s="86">
        <v>32</v>
      </c>
      <c r="Q176" s="33">
        <v>32</v>
      </c>
      <c r="R176" s="39">
        <f t="shared" ref="R176:R178" si="97">M176</f>
        <v>0</v>
      </c>
      <c r="S176" s="113">
        <f t="shared" ref="S176:S178" si="98">G176+H176+K176-M176</f>
        <v>3200</v>
      </c>
      <c r="T176" s="53"/>
      <c r="U176" s="38">
        <f>SUM(G176:J176)+L176-SUM(M176:O176)</f>
        <v>3168</v>
      </c>
      <c r="V176" s="71">
        <v>0</v>
      </c>
      <c r="W176" s="78">
        <f>U176-V176</f>
        <v>3168</v>
      </c>
    </row>
    <row r="177" spans="6:23" x14ac:dyDescent="0.25">
      <c r="F177" s="19" t="s">
        <v>24</v>
      </c>
      <c r="G177" s="32">
        <f>800*4</f>
        <v>3200</v>
      </c>
      <c r="H177" s="57">
        <v>0</v>
      </c>
      <c r="I177" s="23">
        <v>0</v>
      </c>
      <c r="J177" s="24">
        <v>0</v>
      </c>
      <c r="K177" s="38">
        <v>0</v>
      </c>
      <c r="L177" s="41">
        <v>0</v>
      </c>
      <c r="M177" s="23">
        <v>0</v>
      </c>
      <c r="N177" s="22">
        <v>0</v>
      </c>
      <c r="O177" s="24">
        <f>8*4</f>
        <v>32</v>
      </c>
      <c r="P177" s="87">
        <f t="shared" ref="P177:Q178" si="99">O177</f>
        <v>32</v>
      </c>
      <c r="Q177" s="23">
        <f t="shared" si="99"/>
        <v>32</v>
      </c>
      <c r="R177" s="39">
        <f t="shared" si="97"/>
        <v>0</v>
      </c>
      <c r="S177" s="113">
        <f t="shared" si="98"/>
        <v>3200</v>
      </c>
      <c r="T177" s="53"/>
      <c r="U177" s="38">
        <f>SUM(G177:J177)+L177-SUM(M177:O177)</f>
        <v>3168</v>
      </c>
      <c r="V177" s="72">
        <v>0</v>
      </c>
      <c r="W177" s="56">
        <f t="shared" ref="W177:W187" si="100">U177-V177</f>
        <v>3168</v>
      </c>
    </row>
    <row r="178" spans="6:23" x14ac:dyDescent="0.25">
      <c r="F178" s="19" t="s">
        <v>25</v>
      </c>
      <c r="G178" s="32">
        <f>800*5</f>
        <v>4000</v>
      </c>
      <c r="H178" s="57">
        <v>0</v>
      </c>
      <c r="I178" s="23">
        <v>0</v>
      </c>
      <c r="J178" s="24">
        <v>0</v>
      </c>
      <c r="K178" s="38">
        <v>0</v>
      </c>
      <c r="L178" s="41">
        <v>0</v>
      </c>
      <c r="M178" s="23">
        <v>0</v>
      </c>
      <c r="N178" s="22">
        <v>0</v>
      </c>
      <c r="O178" s="24">
        <f>8*5</f>
        <v>40</v>
      </c>
      <c r="P178" s="87">
        <f t="shared" si="99"/>
        <v>40</v>
      </c>
      <c r="Q178" s="23">
        <f t="shared" si="99"/>
        <v>40</v>
      </c>
      <c r="R178" s="39">
        <f t="shared" si="97"/>
        <v>0</v>
      </c>
      <c r="S178" s="113">
        <f t="shared" si="98"/>
        <v>4000</v>
      </c>
      <c r="T178" s="53"/>
      <c r="U178" s="38">
        <f>SUM(G178:J178)+L178-SUM(M178:O178)</f>
        <v>3960</v>
      </c>
      <c r="V178" s="72"/>
      <c r="W178" s="56">
        <f t="shared" si="100"/>
        <v>3960</v>
      </c>
    </row>
    <row r="179" spans="6:23" x14ac:dyDescent="0.25">
      <c r="F179" s="19" t="s">
        <v>26</v>
      </c>
      <c r="G179" s="32">
        <f>800*4</f>
        <v>3200</v>
      </c>
      <c r="H179" s="57">
        <v>0</v>
      </c>
      <c r="I179" s="23">
        <v>0</v>
      </c>
      <c r="J179" s="24">
        <v>0</v>
      </c>
      <c r="K179" s="38">
        <v>0</v>
      </c>
      <c r="L179" s="41">
        <v>0</v>
      </c>
      <c r="M179" s="23">
        <v>0</v>
      </c>
      <c r="N179" s="22">
        <v>0</v>
      </c>
      <c r="O179" s="24">
        <f>8*4</f>
        <v>32</v>
      </c>
      <c r="P179" s="87">
        <f t="shared" ref="P179:P187" si="101">O179</f>
        <v>32</v>
      </c>
      <c r="Q179" s="23">
        <f t="shared" ref="Q179:Q187" si="102">P179</f>
        <v>32</v>
      </c>
      <c r="R179" s="39">
        <f t="shared" ref="R179:R187" si="103">M179</f>
        <v>0</v>
      </c>
      <c r="S179" s="113">
        <f t="shared" ref="S179:S187" si="104">G179+H179+K179-M179</f>
        <v>3200</v>
      </c>
      <c r="T179" s="53"/>
      <c r="U179" s="38">
        <f t="shared" ref="U179:U187" si="105">SUM(G179:J179)+L179-SUM(M179:O179)</f>
        <v>3168</v>
      </c>
      <c r="V179" s="72"/>
      <c r="W179" s="56">
        <f t="shared" si="100"/>
        <v>3168</v>
      </c>
    </row>
    <row r="180" spans="6:23" x14ac:dyDescent="0.25">
      <c r="F180" s="19" t="s">
        <v>27</v>
      </c>
      <c r="G180" s="32">
        <f>800*5</f>
        <v>4000</v>
      </c>
      <c r="H180" s="57">
        <f>30+60</f>
        <v>90</v>
      </c>
      <c r="I180" s="23">
        <v>0</v>
      </c>
      <c r="J180" s="24">
        <v>0</v>
      </c>
      <c r="K180" s="38">
        <v>0</v>
      </c>
      <c r="L180" s="41">
        <v>0</v>
      </c>
      <c r="M180" s="23">
        <v>0</v>
      </c>
      <c r="N180" s="22">
        <v>0</v>
      </c>
      <c r="O180" s="24">
        <f>8+8.3+8.6+8+8</f>
        <v>40.9</v>
      </c>
      <c r="P180" s="87">
        <f t="shared" si="101"/>
        <v>40.9</v>
      </c>
      <c r="Q180" s="23">
        <f t="shared" si="102"/>
        <v>40.9</v>
      </c>
      <c r="R180" s="39">
        <f t="shared" si="103"/>
        <v>0</v>
      </c>
      <c r="S180" s="113">
        <f t="shared" si="104"/>
        <v>4090</v>
      </c>
      <c r="T180" s="53"/>
      <c r="U180" s="38">
        <f t="shared" si="105"/>
        <v>4049.1</v>
      </c>
      <c r="V180" s="72"/>
      <c r="W180" s="56">
        <f t="shared" si="100"/>
        <v>4049.1</v>
      </c>
    </row>
    <row r="181" spans="6:23" x14ac:dyDescent="0.25">
      <c r="F181" s="19" t="s">
        <v>28</v>
      </c>
      <c r="G181" s="32">
        <f>800*4</f>
        <v>3200</v>
      </c>
      <c r="H181" s="57">
        <v>0</v>
      </c>
      <c r="I181" s="23">
        <v>0</v>
      </c>
      <c r="J181" s="24">
        <v>0</v>
      </c>
      <c r="K181" s="38">
        <v>0</v>
      </c>
      <c r="L181" s="41">
        <v>0</v>
      </c>
      <c r="M181" s="23">
        <v>0</v>
      </c>
      <c r="N181" s="22">
        <v>0</v>
      </c>
      <c r="O181" s="24">
        <f>8*4</f>
        <v>32</v>
      </c>
      <c r="P181" s="87">
        <f t="shared" si="101"/>
        <v>32</v>
      </c>
      <c r="Q181" s="23">
        <f t="shared" si="102"/>
        <v>32</v>
      </c>
      <c r="R181" s="39">
        <f t="shared" si="103"/>
        <v>0</v>
      </c>
      <c r="S181" s="113">
        <f t="shared" si="104"/>
        <v>3200</v>
      </c>
      <c r="T181" s="53"/>
      <c r="U181" s="38">
        <f t="shared" si="105"/>
        <v>3168</v>
      </c>
      <c r="V181" s="72"/>
      <c r="W181" s="56">
        <f t="shared" si="100"/>
        <v>3168</v>
      </c>
    </row>
    <row r="182" spans="6:23" x14ac:dyDescent="0.25">
      <c r="F182" s="19" t="s">
        <v>29</v>
      </c>
      <c r="G182" s="32">
        <f>800*4</f>
        <v>3200</v>
      </c>
      <c r="H182" s="57">
        <f>420+360+240</f>
        <v>1020</v>
      </c>
      <c r="I182" s="23">
        <v>0</v>
      </c>
      <c r="J182" s="24">
        <v>0</v>
      </c>
      <c r="K182" s="38">
        <v>0</v>
      </c>
      <c r="L182" s="41">
        <v>0</v>
      </c>
      <c r="M182" s="23">
        <v>0</v>
      </c>
      <c r="N182" s="22">
        <v>0</v>
      </c>
      <c r="O182" s="24">
        <f>12.2+11.6+10.4+8</f>
        <v>42.199999999999996</v>
      </c>
      <c r="P182" s="87">
        <f t="shared" si="101"/>
        <v>42.199999999999996</v>
      </c>
      <c r="Q182" s="23">
        <f t="shared" si="102"/>
        <v>42.199999999999996</v>
      </c>
      <c r="R182" s="39">
        <f t="shared" si="103"/>
        <v>0</v>
      </c>
      <c r="S182" s="113">
        <f t="shared" si="104"/>
        <v>4220</v>
      </c>
      <c r="T182" s="53"/>
      <c r="U182" s="38">
        <f t="shared" si="105"/>
        <v>4177.8</v>
      </c>
      <c r="V182" s="72"/>
      <c r="W182" s="56">
        <f t="shared" si="100"/>
        <v>4177.8</v>
      </c>
    </row>
    <row r="183" spans="6:23" x14ac:dyDescent="0.25">
      <c r="F183" s="19" t="s">
        <v>30</v>
      </c>
      <c r="G183" s="32">
        <f>800*5</f>
        <v>4000</v>
      </c>
      <c r="H183" s="57">
        <f>240+165+330+240</f>
        <v>975</v>
      </c>
      <c r="I183" s="23">
        <v>0</v>
      </c>
      <c r="J183" s="24">
        <v>0</v>
      </c>
      <c r="K183" s="38">
        <v>0</v>
      </c>
      <c r="L183" s="41">
        <v>0</v>
      </c>
      <c r="M183" s="23">
        <v>0</v>
      </c>
      <c r="N183" s="22">
        <v>0</v>
      </c>
      <c r="O183" s="24">
        <f>8+10.4+9.65+11.3+10.4</f>
        <v>49.749999999999993</v>
      </c>
      <c r="P183" s="87">
        <f t="shared" si="101"/>
        <v>49.749999999999993</v>
      </c>
      <c r="Q183" s="23">
        <f t="shared" si="102"/>
        <v>49.749999999999993</v>
      </c>
      <c r="R183" s="39">
        <f t="shared" si="103"/>
        <v>0</v>
      </c>
      <c r="S183" s="113">
        <f t="shared" si="104"/>
        <v>4975</v>
      </c>
      <c r="T183" s="53"/>
      <c r="U183" s="38">
        <f t="shared" si="105"/>
        <v>4925.25</v>
      </c>
      <c r="V183" s="72"/>
      <c r="W183" s="56">
        <f t="shared" si="100"/>
        <v>4925.25</v>
      </c>
    </row>
    <row r="184" spans="6:23" x14ac:dyDescent="0.25">
      <c r="F184" s="19" t="s">
        <v>31</v>
      </c>
      <c r="G184" s="32">
        <f>800*4</f>
        <v>3200</v>
      </c>
      <c r="H184" s="57">
        <f>240+240+90</f>
        <v>570</v>
      </c>
      <c r="I184" s="23">
        <v>0</v>
      </c>
      <c r="J184" s="24">
        <v>0</v>
      </c>
      <c r="K184" s="38">
        <v>0</v>
      </c>
      <c r="L184" s="41">
        <v>0</v>
      </c>
      <c r="M184" s="23">
        <v>0</v>
      </c>
      <c r="N184" s="22">
        <v>0</v>
      </c>
      <c r="O184" s="24">
        <f>10.4+8+10.4+8.9</f>
        <v>37.699999999999996</v>
      </c>
      <c r="P184" s="87">
        <f t="shared" si="101"/>
        <v>37.699999999999996</v>
      </c>
      <c r="Q184" s="23">
        <f t="shared" si="102"/>
        <v>37.699999999999996</v>
      </c>
      <c r="R184" s="39">
        <f t="shared" si="103"/>
        <v>0</v>
      </c>
      <c r="S184" s="113">
        <f t="shared" si="104"/>
        <v>3770</v>
      </c>
      <c r="T184" s="53"/>
      <c r="U184" s="38">
        <f t="shared" si="105"/>
        <v>3732.3</v>
      </c>
      <c r="V184" s="72"/>
      <c r="W184" s="56">
        <f t="shared" si="100"/>
        <v>3732.3</v>
      </c>
    </row>
    <row r="185" spans="6:23" x14ac:dyDescent="0.25">
      <c r="F185" s="19" t="s">
        <v>32</v>
      </c>
      <c r="G185" s="32">
        <f>800*2</f>
        <v>1600</v>
      </c>
      <c r="H185" s="57">
        <f>240</f>
        <v>240</v>
      </c>
      <c r="I185" s="23">
        <v>2400</v>
      </c>
      <c r="J185" s="24">
        <v>3465.25</v>
      </c>
      <c r="K185" s="38">
        <v>0</v>
      </c>
      <c r="L185" s="41">
        <v>0</v>
      </c>
      <c r="M185" s="23">
        <v>0</v>
      </c>
      <c r="N185" s="22">
        <v>0</v>
      </c>
      <c r="O185" s="24">
        <f>66.65+10.4</f>
        <v>77.050000000000011</v>
      </c>
      <c r="P185" s="87">
        <f t="shared" si="101"/>
        <v>77.050000000000011</v>
      </c>
      <c r="Q185" s="23">
        <f t="shared" si="102"/>
        <v>77.050000000000011</v>
      </c>
      <c r="R185" s="39">
        <f t="shared" si="103"/>
        <v>0</v>
      </c>
      <c r="S185" s="113">
        <f>G185+I185+J185+H185+K185-M185</f>
        <v>7705.25</v>
      </c>
      <c r="T185" s="53"/>
      <c r="U185" s="38">
        <f t="shared" si="105"/>
        <v>7628.2</v>
      </c>
      <c r="V185" s="72"/>
      <c r="W185" s="56">
        <f t="shared" si="100"/>
        <v>7628.2</v>
      </c>
    </row>
    <row r="186" spans="6:23" x14ac:dyDescent="0.25">
      <c r="F186" s="19" t="s">
        <v>33</v>
      </c>
      <c r="G186" s="32">
        <f>800*4</f>
        <v>3200</v>
      </c>
      <c r="H186" s="57">
        <v>0</v>
      </c>
      <c r="I186" s="23">
        <v>0</v>
      </c>
      <c r="J186" s="24">
        <v>0</v>
      </c>
      <c r="K186" s="38">
        <v>0</v>
      </c>
      <c r="L186" s="41">
        <v>0</v>
      </c>
      <c r="M186" s="23">
        <v>0</v>
      </c>
      <c r="N186" s="22">
        <v>0</v>
      </c>
      <c r="O186" s="24">
        <f>8*4</f>
        <v>32</v>
      </c>
      <c r="P186" s="87">
        <f t="shared" si="101"/>
        <v>32</v>
      </c>
      <c r="Q186" s="23">
        <f t="shared" si="102"/>
        <v>32</v>
      </c>
      <c r="R186" s="39">
        <f t="shared" si="103"/>
        <v>0</v>
      </c>
      <c r="S186" s="113">
        <f t="shared" si="104"/>
        <v>3200</v>
      </c>
      <c r="T186" s="53"/>
      <c r="U186" s="38">
        <f t="shared" si="105"/>
        <v>3168</v>
      </c>
      <c r="V186" s="72"/>
      <c r="W186" s="56">
        <f t="shared" si="100"/>
        <v>3168</v>
      </c>
    </row>
    <row r="187" spans="6:23" ht="15.75" thickBot="1" x14ac:dyDescent="0.3">
      <c r="F187" s="20" t="s">
        <v>34</v>
      </c>
      <c r="G187" s="32">
        <f>800*4</f>
        <v>3200</v>
      </c>
      <c r="H187" s="57">
        <v>0</v>
      </c>
      <c r="I187" s="23">
        <v>0</v>
      </c>
      <c r="J187" s="24">
        <v>0</v>
      </c>
      <c r="K187" s="38">
        <v>0</v>
      </c>
      <c r="L187" s="43">
        <v>0</v>
      </c>
      <c r="M187" s="27">
        <v>0</v>
      </c>
      <c r="N187" s="26">
        <v>0</v>
      </c>
      <c r="O187" s="24">
        <f>8*4</f>
        <v>32</v>
      </c>
      <c r="P187" s="87">
        <f t="shared" si="101"/>
        <v>32</v>
      </c>
      <c r="Q187" s="23">
        <f t="shared" si="102"/>
        <v>32</v>
      </c>
      <c r="R187" s="39">
        <f t="shared" si="103"/>
        <v>0</v>
      </c>
      <c r="S187" s="113">
        <f t="shared" si="104"/>
        <v>3200</v>
      </c>
      <c r="T187" s="53"/>
      <c r="U187" s="38">
        <f t="shared" si="105"/>
        <v>3168</v>
      </c>
      <c r="V187" s="72"/>
      <c r="W187" s="56">
        <f t="shared" si="100"/>
        <v>3168</v>
      </c>
    </row>
    <row r="188" spans="6:23" ht="15.75" thickBot="1" x14ac:dyDescent="0.3">
      <c r="G188" s="29">
        <f t="shared" ref="G188" si="106">SUM(G176:G187)</f>
        <v>39200</v>
      </c>
      <c r="H188" s="59">
        <f>SUM(H176:H187)</f>
        <v>2895</v>
      </c>
      <c r="I188" s="30">
        <f>SUM(I176:I187)</f>
        <v>2400</v>
      </c>
      <c r="J188" s="31">
        <f t="shared" ref="J188:U188" si="107">SUM(J176:J187)</f>
        <v>3465.25</v>
      </c>
      <c r="K188" s="29">
        <f t="shared" si="107"/>
        <v>0</v>
      </c>
      <c r="L188" s="44">
        <f t="shared" si="107"/>
        <v>0</v>
      </c>
      <c r="M188" s="30">
        <f t="shared" si="107"/>
        <v>0</v>
      </c>
      <c r="N188" s="37">
        <f t="shared" si="107"/>
        <v>0</v>
      </c>
      <c r="O188" s="31">
        <f t="shared" si="107"/>
        <v>479.59999999999997</v>
      </c>
      <c r="P188" s="81">
        <f t="shared" si="107"/>
        <v>479.59999999999997</v>
      </c>
      <c r="Q188" s="66">
        <f t="shared" si="107"/>
        <v>479.59999999999997</v>
      </c>
      <c r="R188" s="44">
        <f t="shared" si="107"/>
        <v>0</v>
      </c>
      <c r="S188" s="54">
        <f t="shared" si="107"/>
        <v>47960.25</v>
      </c>
      <c r="T188" s="117"/>
      <c r="U188" s="55">
        <f t="shared" si="107"/>
        <v>47480.649999999994</v>
      </c>
      <c r="V188" s="74">
        <f>SUM(V176:V187)</f>
        <v>0</v>
      </c>
      <c r="W188" s="75"/>
    </row>
    <row r="189" spans="6:23" ht="15.75" thickBot="1" x14ac:dyDescent="0.3">
      <c r="G189" s="150">
        <f>SUM(G188:H188)</f>
        <v>42095</v>
      </c>
      <c r="H189" s="151"/>
      <c r="I189" s="152">
        <f>SUM(I188:J188)</f>
        <v>5865.25</v>
      </c>
      <c r="J189" s="153"/>
      <c r="K189" s="95">
        <v>3810</v>
      </c>
      <c r="N189" s="95">
        <v>4102</v>
      </c>
      <c r="O189" s="163">
        <f>SUM(O188:P188)</f>
        <v>959.19999999999993</v>
      </c>
      <c r="P189" s="164"/>
      <c r="S189" s="95">
        <v>3698</v>
      </c>
      <c r="T189" s="95"/>
    </row>
    <row r="190" spans="6:23" x14ac:dyDescent="0.25">
      <c r="G190" s="160">
        <v>3601</v>
      </c>
      <c r="H190" s="160"/>
      <c r="I190" s="161">
        <v>3605</v>
      </c>
      <c r="J190" s="161"/>
      <c r="O190" s="162">
        <v>4141</v>
      </c>
      <c r="P190" s="162"/>
    </row>
  </sheetData>
  <mergeCells count="151">
    <mergeCell ref="G190:H190"/>
    <mergeCell ref="I190:J190"/>
    <mergeCell ref="O190:P190"/>
    <mergeCell ref="K41:L41"/>
    <mergeCell ref="S174:S175"/>
    <mergeCell ref="U174:U175"/>
    <mergeCell ref="V174:V175"/>
    <mergeCell ref="W174:W175"/>
    <mergeCell ref="G189:H189"/>
    <mergeCell ref="I189:J189"/>
    <mergeCell ref="O189:P189"/>
    <mergeCell ref="G171:H171"/>
    <mergeCell ref="I171:J171"/>
    <mergeCell ref="O171:P171"/>
    <mergeCell ref="G174:J174"/>
    <mergeCell ref="K174:L174"/>
    <mergeCell ref="M174:O174"/>
    <mergeCell ref="P174:R174"/>
    <mergeCell ref="S155:S156"/>
    <mergeCell ref="U155:U156"/>
    <mergeCell ref="V155:V156"/>
    <mergeCell ref="W155:W156"/>
    <mergeCell ref="G170:H170"/>
    <mergeCell ref="I170:J170"/>
    <mergeCell ref="O170:P170"/>
    <mergeCell ref="G152:H152"/>
    <mergeCell ref="I152:J152"/>
    <mergeCell ref="O152:P152"/>
    <mergeCell ref="G155:J155"/>
    <mergeCell ref="K155:L155"/>
    <mergeCell ref="M155:O155"/>
    <mergeCell ref="P155:R155"/>
    <mergeCell ref="S136:S137"/>
    <mergeCell ref="U136:U137"/>
    <mergeCell ref="V136:V137"/>
    <mergeCell ref="W136:W137"/>
    <mergeCell ref="G151:H151"/>
    <mergeCell ref="I151:J151"/>
    <mergeCell ref="O151:P151"/>
    <mergeCell ref="G133:H133"/>
    <mergeCell ref="I133:J133"/>
    <mergeCell ref="O133:P133"/>
    <mergeCell ref="G136:J136"/>
    <mergeCell ref="K136:L136"/>
    <mergeCell ref="M136:O136"/>
    <mergeCell ref="P136:R136"/>
    <mergeCell ref="S117:S118"/>
    <mergeCell ref="U117:U118"/>
    <mergeCell ref="V117:V118"/>
    <mergeCell ref="W117:W118"/>
    <mergeCell ref="G132:H132"/>
    <mergeCell ref="I132:J132"/>
    <mergeCell ref="O132:P132"/>
    <mergeCell ref="G114:H114"/>
    <mergeCell ref="I114:J114"/>
    <mergeCell ref="O114:P114"/>
    <mergeCell ref="G117:J117"/>
    <mergeCell ref="K117:L117"/>
    <mergeCell ref="M117:O117"/>
    <mergeCell ref="P117:R117"/>
    <mergeCell ref="S98:S99"/>
    <mergeCell ref="U98:U99"/>
    <mergeCell ref="V98:V99"/>
    <mergeCell ref="W98:W99"/>
    <mergeCell ref="G113:H113"/>
    <mergeCell ref="I113:J113"/>
    <mergeCell ref="O113:P113"/>
    <mergeCell ref="G95:H95"/>
    <mergeCell ref="I95:J95"/>
    <mergeCell ref="O95:P95"/>
    <mergeCell ref="G98:J98"/>
    <mergeCell ref="K98:L98"/>
    <mergeCell ref="M98:O98"/>
    <mergeCell ref="P98:R98"/>
    <mergeCell ref="S79:S80"/>
    <mergeCell ref="U79:U80"/>
    <mergeCell ref="V79:V80"/>
    <mergeCell ref="W79:W80"/>
    <mergeCell ref="G94:H94"/>
    <mergeCell ref="I94:J94"/>
    <mergeCell ref="O94:P94"/>
    <mergeCell ref="G76:H76"/>
    <mergeCell ref="I76:J76"/>
    <mergeCell ref="O76:P76"/>
    <mergeCell ref="G79:J79"/>
    <mergeCell ref="K79:L79"/>
    <mergeCell ref="M79:O79"/>
    <mergeCell ref="P79:R79"/>
    <mergeCell ref="P60:R60"/>
    <mergeCell ref="S60:S61"/>
    <mergeCell ref="U60:U61"/>
    <mergeCell ref="V60:V61"/>
    <mergeCell ref="W60:W61"/>
    <mergeCell ref="G75:H75"/>
    <mergeCell ref="I75:J75"/>
    <mergeCell ref="O75:P75"/>
    <mergeCell ref="G57:H57"/>
    <mergeCell ref="I57:J57"/>
    <mergeCell ref="O57:P57"/>
    <mergeCell ref="G60:J60"/>
    <mergeCell ref="K60:L60"/>
    <mergeCell ref="M60:O60"/>
    <mergeCell ref="U41:U42"/>
    <mergeCell ref="V41:V42"/>
    <mergeCell ref="W41:W42"/>
    <mergeCell ref="G56:H56"/>
    <mergeCell ref="I56:J56"/>
    <mergeCell ref="O56:P56"/>
    <mergeCell ref="G38:H38"/>
    <mergeCell ref="I38:J38"/>
    <mergeCell ref="P38:Q38"/>
    <mergeCell ref="G41:J41"/>
    <mergeCell ref="M41:O41"/>
    <mergeCell ref="P41:R41"/>
    <mergeCell ref="S41:S42"/>
    <mergeCell ref="O20:P20"/>
    <mergeCell ref="A22:A23"/>
    <mergeCell ref="G22:J22"/>
    <mergeCell ref="K22:L22"/>
    <mergeCell ref="M22:P22"/>
    <mergeCell ref="A24:A25"/>
    <mergeCell ref="A26:A27"/>
    <mergeCell ref="AA34:AA35"/>
    <mergeCell ref="G37:H37"/>
    <mergeCell ref="I37:J37"/>
    <mergeCell ref="P37:Q37"/>
    <mergeCell ref="U22:U23"/>
    <mergeCell ref="V22:V23"/>
    <mergeCell ref="X22:X23"/>
    <mergeCell ref="Y22:Y23"/>
    <mergeCell ref="Z22:Z23"/>
    <mergeCell ref="A14:A15"/>
    <mergeCell ref="A16:A17"/>
    <mergeCell ref="A18:A19"/>
    <mergeCell ref="A8:A9"/>
    <mergeCell ref="A10:A11"/>
    <mergeCell ref="A12:A13"/>
    <mergeCell ref="M19:N19"/>
    <mergeCell ref="A20:A21"/>
    <mergeCell ref="M20:N20"/>
    <mergeCell ref="Q4:Q5"/>
    <mergeCell ref="R4:R5"/>
    <mergeCell ref="S4:S5"/>
    <mergeCell ref="U4:U5"/>
    <mergeCell ref="V4:V5"/>
    <mergeCell ref="A6:A7"/>
    <mergeCell ref="A4:A5"/>
    <mergeCell ref="G4:H4"/>
    <mergeCell ref="I4:J4"/>
    <mergeCell ref="K4:M4"/>
    <mergeCell ref="N4:P4"/>
  </mergeCells>
  <pageMargins left="0.31496062992125984" right="0.31496062992125984" top="0.35433070866141736" bottom="0.35433070866141736" header="0.31496062992125984" footer="0.31496062992125984"/>
  <pageSetup paperSize="9" scale="68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1"/>
  <sheetViews>
    <sheetView workbookViewId="0">
      <selection activeCell="C33" sqref="C33"/>
    </sheetView>
  </sheetViews>
  <sheetFormatPr defaultRowHeight="15" x14ac:dyDescent="0.25"/>
  <cols>
    <col min="1" max="1" width="7.5703125" style="1" customWidth="1"/>
    <col min="2" max="2" width="4.85546875" style="2" customWidth="1"/>
    <col min="3" max="3" width="10.5703125" style="1" bestFit="1" customWidth="1"/>
    <col min="4" max="4" width="9.5703125" style="1" bestFit="1" customWidth="1"/>
    <col min="5" max="6" width="9.140625" style="1"/>
    <col min="7" max="7" width="4.7109375" style="1" customWidth="1"/>
    <col min="8" max="8" width="12.5703125" style="1" customWidth="1"/>
    <col min="9" max="27" width="11.7109375" style="1" customWidth="1"/>
    <col min="28" max="28" width="9.5703125" style="1" bestFit="1" customWidth="1"/>
    <col min="29" max="16384" width="9.140625" style="1"/>
  </cols>
  <sheetData>
    <row r="1" spans="1:23" ht="33.75" x14ac:dyDescent="0.25">
      <c r="A1" s="13" t="s">
        <v>17</v>
      </c>
    </row>
    <row r="2" spans="1:23" ht="5.25" customHeight="1" thickBot="1" x14ac:dyDescent="0.3"/>
    <row r="3" spans="1:23" ht="16.5" thickBot="1" x14ac:dyDescent="0.3">
      <c r="C3" s="9" t="s">
        <v>14</v>
      </c>
      <c r="D3" s="10" t="s">
        <v>15</v>
      </c>
      <c r="E3" s="9" t="s">
        <v>16</v>
      </c>
      <c r="F3" s="10" t="s">
        <v>16</v>
      </c>
      <c r="H3" s="46" t="s">
        <v>21</v>
      </c>
      <c r="I3" s="12"/>
      <c r="J3" s="12"/>
      <c r="K3" s="12"/>
    </row>
    <row r="4" spans="1:23" ht="16.5" thickBot="1" x14ac:dyDescent="0.3">
      <c r="A4" s="141" t="s">
        <v>7</v>
      </c>
      <c r="B4" s="6" t="s">
        <v>12</v>
      </c>
      <c r="C4" s="105">
        <f>Q25+N44+P63+P82+P101+P120+P139+P158+P177</f>
        <v>515.05000000000007</v>
      </c>
      <c r="D4" s="47">
        <f>N6</f>
        <v>734.75</v>
      </c>
      <c r="E4" s="11">
        <f>SUM(C4:D4)</f>
        <v>1249.8000000000002</v>
      </c>
      <c r="F4" s="168">
        <f>SUM(E4:E5)</f>
        <v>11589.400000000001</v>
      </c>
      <c r="H4" s="12"/>
      <c r="I4" s="142" t="s">
        <v>36</v>
      </c>
      <c r="J4" s="143"/>
      <c r="K4" s="142" t="s">
        <v>37</v>
      </c>
      <c r="L4" s="143"/>
      <c r="M4" s="142" t="s">
        <v>38</v>
      </c>
      <c r="N4" s="144"/>
      <c r="O4" s="143"/>
      <c r="P4" s="142" t="s">
        <v>41</v>
      </c>
      <c r="Q4" s="144"/>
      <c r="R4" s="143"/>
      <c r="S4" s="136" t="s">
        <v>46</v>
      </c>
      <c r="T4" s="136" t="s">
        <v>39</v>
      </c>
      <c r="U4" s="138" t="s">
        <v>42</v>
      </c>
      <c r="V4" s="169"/>
      <c r="W4" s="140"/>
    </row>
    <row r="5" spans="1:23" ht="15.75" thickBot="1" x14ac:dyDescent="0.3">
      <c r="A5" s="141"/>
      <c r="B5" s="7" t="s">
        <v>13</v>
      </c>
      <c r="C5" s="106">
        <f>R38+O57+Q76+Q95+Q114+Q133+Q152+Q171+Q190</f>
        <v>10126.48</v>
      </c>
      <c r="D5" s="48">
        <f>O6*2</f>
        <v>213.12</v>
      </c>
      <c r="E5" s="5">
        <f>SUM(C5:D5)</f>
        <v>10339.6</v>
      </c>
      <c r="F5" s="167"/>
      <c r="H5" s="17" t="s">
        <v>22</v>
      </c>
      <c r="I5" s="14" t="s">
        <v>18</v>
      </c>
      <c r="J5" s="35" t="s">
        <v>35</v>
      </c>
      <c r="K5" s="14" t="s">
        <v>20</v>
      </c>
      <c r="L5" s="16" t="s">
        <v>45</v>
      </c>
      <c r="M5" s="15" t="s">
        <v>20</v>
      </c>
      <c r="N5" s="36" t="s">
        <v>12</v>
      </c>
      <c r="O5" s="35" t="s">
        <v>13</v>
      </c>
      <c r="P5" s="60" t="s">
        <v>13</v>
      </c>
      <c r="Q5" s="61" t="s">
        <v>40</v>
      </c>
      <c r="R5" s="62" t="s">
        <v>20</v>
      </c>
      <c r="S5" s="137"/>
      <c r="T5" s="137"/>
      <c r="U5" s="139"/>
      <c r="V5" s="169"/>
      <c r="W5" s="140"/>
    </row>
    <row r="6" spans="1:23" x14ac:dyDescent="0.25">
      <c r="A6" s="141" t="s">
        <v>0</v>
      </c>
      <c r="B6" s="7" t="s">
        <v>12</v>
      </c>
      <c r="C6" s="106">
        <f>Q26+N45+P64+P83+P102+P121+P140+P159+P178</f>
        <v>515.04</v>
      </c>
      <c r="D6" s="48">
        <f>Q7</f>
        <v>734.75</v>
      </c>
      <c r="E6" s="5">
        <f t="shared" ref="E6:E27" si="0">SUM(C6:D6)</f>
        <v>1249.79</v>
      </c>
      <c r="F6" s="165">
        <f>SUM(E6:E7)</f>
        <v>1356.35</v>
      </c>
      <c r="H6" s="18" t="s">
        <v>23</v>
      </c>
      <c r="I6" s="32">
        <v>10000</v>
      </c>
      <c r="J6" s="34">
        <v>0</v>
      </c>
      <c r="K6" s="38">
        <v>656</v>
      </c>
      <c r="L6" s="39">
        <v>0</v>
      </c>
      <c r="M6" s="21">
        <v>656</v>
      </c>
      <c r="N6" s="32">
        <v>734.75</v>
      </c>
      <c r="O6" s="34">
        <v>106.56</v>
      </c>
      <c r="P6" s="51">
        <v>106.56</v>
      </c>
      <c r="Q6" s="21">
        <v>106.56</v>
      </c>
      <c r="R6" s="52">
        <v>656</v>
      </c>
      <c r="S6" s="57"/>
      <c r="T6" s="53">
        <f>I6+K6+L6</f>
        <v>10656</v>
      </c>
      <c r="U6" s="79">
        <f t="shared" ref="U6:U17" si="1">SUM(I6:J6)-SUM(M6:O6)</f>
        <v>8502.69</v>
      </c>
      <c r="V6" s="82"/>
      <c r="W6" s="83"/>
    </row>
    <row r="7" spans="1:23" x14ac:dyDescent="0.25">
      <c r="A7" s="141"/>
      <c r="B7" s="7" t="s">
        <v>13</v>
      </c>
      <c r="C7" s="3"/>
      <c r="D7" s="48">
        <f>O7</f>
        <v>106.56</v>
      </c>
      <c r="E7" s="5">
        <f t="shared" si="0"/>
        <v>106.56</v>
      </c>
      <c r="F7" s="166"/>
      <c r="H7" s="19" t="s">
        <v>24</v>
      </c>
      <c r="I7" s="22">
        <v>10000</v>
      </c>
      <c r="J7" s="24">
        <v>0</v>
      </c>
      <c r="K7" s="38">
        <v>656</v>
      </c>
      <c r="L7" s="41">
        <v>0</v>
      </c>
      <c r="M7" s="23">
        <v>656</v>
      </c>
      <c r="N7" s="22">
        <v>734.75</v>
      </c>
      <c r="O7" s="24">
        <v>106.56</v>
      </c>
      <c r="P7" s="40">
        <v>106.56</v>
      </c>
      <c r="Q7" s="23">
        <v>734.75</v>
      </c>
      <c r="R7" s="41">
        <v>656</v>
      </c>
      <c r="S7" s="57"/>
      <c r="T7" s="53">
        <f t="shared" ref="T7:T17" si="2">I7+K7+L7</f>
        <v>10656</v>
      </c>
      <c r="U7" s="79">
        <f t="shared" si="1"/>
        <v>8502.69</v>
      </c>
      <c r="V7" s="82"/>
      <c r="W7" s="83"/>
    </row>
    <row r="8" spans="1:23" x14ac:dyDescent="0.25">
      <c r="A8" s="141" t="s">
        <v>1</v>
      </c>
      <c r="B8" s="7" t="s">
        <v>12</v>
      </c>
      <c r="C8" s="3"/>
      <c r="D8" s="48">
        <f>Q8</f>
        <v>106.56</v>
      </c>
      <c r="E8" s="5">
        <f t="shared" si="0"/>
        <v>106.56</v>
      </c>
      <c r="F8" s="167">
        <f>SUM(E8:E9)</f>
        <v>213.12</v>
      </c>
      <c r="H8" s="19" t="s">
        <v>25</v>
      </c>
      <c r="I8" s="22">
        <v>10000</v>
      </c>
      <c r="J8" s="24">
        <v>0</v>
      </c>
      <c r="K8" s="38">
        <v>656</v>
      </c>
      <c r="L8" s="41">
        <v>0</v>
      </c>
      <c r="M8" s="23">
        <v>656</v>
      </c>
      <c r="N8" s="22">
        <v>734.75</v>
      </c>
      <c r="O8" s="24">
        <v>106.56</v>
      </c>
      <c r="P8" s="40">
        <v>106.56</v>
      </c>
      <c r="Q8" s="23">
        <v>106.56</v>
      </c>
      <c r="R8" s="41">
        <v>656</v>
      </c>
      <c r="S8" s="57"/>
      <c r="T8" s="53">
        <f t="shared" si="2"/>
        <v>10656</v>
      </c>
      <c r="U8" s="79">
        <f t="shared" si="1"/>
        <v>8502.69</v>
      </c>
      <c r="V8" s="82"/>
      <c r="W8" s="83"/>
    </row>
    <row r="9" spans="1:23" x14ac:dyDescent="0.25">
      <c r="A9" s="141"/>
      <c r="B9" s="7" t="s">
        <v>13</v>
      </c>
      <c r="C9" s="3"/>
      <c r="D9" s="48">
        <f>O8</f>
        <v>106.56</v>
      </c>
      <c r="E9" s="5">
        <f t="shared" si="0"/>
        <v>106.56</v>
      </c>
      <c r="F9" s="167"/>
      <c r="H9" s="19" t="s">
        <v>26</v>
      </c>
      <c r="I9" s="22">
        <v>10000</v>
      </c>
      <c r="J9" s="24">
        <v>0</v>
      </c>
      <c r="K9" s="38">
        <v>656</v>
      </c>
      <c r="L9" s="41">
        <v>0</v>
      </c>
      <c r="M9" s="23">
        <v>656</v>
      </c>
      <c r="N9" s="22">
        <v>734.75</v>
      </c>
      <c r="O9" s="24">
        <v>106.56</v>
      </c>
      <c r="P9" s="40">
        <v>106.56</v>
      </c>
      <c r="Q9" s="23">
        <v>106.56</v>
      </c>
      <c r="R9" s="41">
        <v>656</v>
      </c>
      <c r="S9" s="57"/>
      <c r="T9" s="53">
        <f t="shared" si="2"/>
        <v>10656</v>
      </c>
      <c r="U9" s="79">
        <f t="shared" si="1"/>
        <v>8502.69</v>
      </c>
      <c r="V9" s="82"/>
      <c r="W9" s="83"/>
    </row>
    <row r="10" spans="1:23" x14ac:dyDescent="0.25">
      <c r="A10" s="141" t="s">
        <v>2</v>
      </c>
      <c r="B10" s="7" t="s">
        <v>12</v>
      </c>
      <c r="C10" s="3"/>
      <c r="D10" s="48">
        <f>Q9</f>
        <v>106.56</v>
      </c>
      <c r="E10" s="5">
        <f t="shared" si="0"/>
        <v>106.56</v>
      </c>
      <c r="F10" s="165">
        <f>SUM(E10:E11)</f>
        <v>213.12</v>
      </c>
      <c r="H10" s="19" t="s">
        <v>27</v>
      </c>
      <c r="I10" s="22">
        <v>10000</v>
      </c>
      <c r="J10" s="24">
        <v>0</v>
      </c>
      <c r="K10" s="38">
        <v>656</v>
      </c>
      <c r="L10" s="41">
        <v>0</v>
      </c>
      <c r="M10" s="23">
        <v>656</v>
      </c>
      <c r="N10" s="22">
        <v>734.75</v>
      </c>
      <c r="O10" s="24">
        <v>106.56</v>
      </c>
      <c r="P10" s="40">
        <v>106.56</v>
      </c>
      <c r="Q10" s="23">
        <v>106.56</v>
      </c>
      <c r="R10" s="41">
        <v>656</v>
      </c>
      <c r="S10" s="57"/>
      <c r="T10" s="53">
        <f t="shared" si="2"/>
        <v>10656</v>
      </c>
      <c r="U10" s="79">
        <f t="shared" si="1"/>
        <v>8502.69</v>
      </c>
      <c r="V10" s="82"/>
      <c r="W10" s="83"/>
    </row>
    <row r="11" spans="1:23" x14ac:dyDescent="0.25">
      <c r="A11" s="141"/>
      <c r="B11" s="7" t="s">
        <v>13</v>
      </c>
      <c r="C11" s="3"/>
      <c r="D11" s="48">
        <f>O9</f>
        <v>106.56</v>
      </c>
      <c r="E11" s="5">
        <f t="shared" si="0"/>
        <v>106.56</v>
      </c>
      <c r="F11" s="166"/>
      <c r="H11" s="19" t="s">
        <v>28</v>
      </c>
      <c r="I11" s="22">
        <v>10000</v>
      </c>
      <c r="J11" s="24">
        <v>0</v>
      </c>
      <c r="K11" s="38">
        <v>656</v>
      </c>
      <c r="L11" s="41">
        <v>0</v>
      </c>
      <c r="M11" s="23">
        <v>656</v>
      </c>
      <c r="N11" s="22">
        <v>734.75</v>
      </c>
      <c r="O11" s="24">
        <v>106.56</v>
      </c>
      <c r="P11" s="40">
        <v>106.56</v>
      </c>
      <c r="Q11" s="23">
        <v>106.56</v>
      </c>
      <c r="R11" s="41">
        <v>656</v>
      </c>
      <c r="S11" s="57"/>
      <c r="T11" s="53">
        <f t="shared" si="2"/>
        <v>10656</v>
      </c>
      <c r="U11" s="79">
        <f t="shared" si="1"/>
        <v>8502.69</v>
      </c>
      <c r="V11" s="82"/>
      <c r="W11" s="83"/>
    </row>
    <row r="12" spans="1:23" x14ac:dyDescent="0.25">
      <c r="A12" s="141" t="s">
        <v>3</v>
      </c>
      <c r="B12" s="7" t="s">
        <v>12</v>
      </c>
      <c r="C12" s="3"/>
      <c r="D12" s="48">
        <f>Q10</f>
        <v>106.56</v>
      </c>
      <c r="E12" s="5">
        <f t="shared" si="0"/>
        <v>106.56</v>
      </c>
      <c r="F12" s="167">
        <f>SUM(E12:E13)</f>
        <v>213.12</v>
      </c>
      <c r="H12" s="19" t="s">
        <v>29</v>
      </c>
      <c r="I12" s="22">
        <v>10000</v>
      </c>
      <c r="J12" s="24">
        <v>0</v>
      </c>
      <c r="K12" s="38">
        <v>656</v>
      </c>
      <c r="L12" s="41">
        <v>0</v>
      </c>
      <c r="M12" s="23">
        <v>656</v>
      </c>
      <c r="N12" s="22">
        <v>734.75</v>
      </c>
      <c r="O12" s="24">
        <v>106.56</v>
      </c>
      <c r="P12" s="40">
        <v>106.56</v>
      </c>
      <c r="Q12" s="23">
        <v>106.56</v>
      </c>
      <c r="R12" s="41">
        <v>656</v>
      </c>
      <c r="S12" s="57"/>
      <c r="T12" s="53">
        <f t="shared" si="2"/>
        <v>10656</v>
      </c>
      <c r="U12" s="79">
        <f t="shared" si="1"/>
        <v>8502.69</v>
      </c>
      <c r="V12" s="82"/>
      <c r="W12" s="83"/>
    </row>
    <row r="13" spans="1:23" x14ac:dyDescent="0.25">
      <c r="A13" s="141"/>
      <c r="B13" s="7" t="s">
        <v>13</v>
      </c>
      <c r="C13" s="3"/>
      <c r="D13" s="48">
        <f>O10</f>
        <v>106.56</v>
      </c>
      <c r="E13" s="5">
        <f t="shared" si="0"/>
        <v>106.56</v>
      </c>
      <c r="F13" s="167"/>
      <c r="H13" s="19" t="s">
        <v>30</v>
      </c>
      <c r="I13" s="22">
        <v>10000</v>
      </c>
      <c r="J13" s="24">
        <v>0</v>
      </c>
      <c r="K13" s="38">
        <v>656</v>
      </c>
      <c r="L13" s="41">
        <v>0</v>
      </c>
      <c r="M13" s="23">
        <v>656</v>
      </c>
      <c r="N13" s="22">
        <v>734.75</v>
      </c>
      <c r="O13" s="24">
        <v>106.56</v>
      </c>
      <c r="P13" s="40">
        <v>106.56</v>
      </c>
      <c r="Q13" s="23">
        <v>106.56</v>
      </c>
      <c r="R13" s="41">
        <v>656</v>
      </c>
      <c r="S13" s="57"/>
      <c r="T13" s="53">
        <f t="shared" si="2"/>
        <v>10656</v>
      </c>
      <c r="U13" s="79">
        <f t="shared" si="1"/>
        <v>8502.69</v>
      </c>
      <c r="V13" s="82"/>
      <c r="W13" s="83"/>
    </row>
    <row r="14" spans="1:23" x14ac:dyDescent="0.25">
      <c r="A14" s="141" t="s">
        <v>6</v>
      </c>
      <c r="B14" s="7" t="s">
        <v>12</v>
      </c>
      <c r="C14" s="3"/>
      <c r="D14" s="48">
        <f>Q11</f>
        <v>106.56</v>
      </c>
      <c r="E14" s="5">
        <f t="shared" si="0"/>
        <v>106.56</v>
      </c>
      <c r="F14" s="165">
        <f>SUM(E14:E15)</f>
        <v>213.12</v>
      </c>
      <c r="H14" s="19" t="s">
        <v>31</v>
      </c>
      <c r="I14" s="22">
        <v>10000</v>
      </c>
      <c r="J14" s="24">
        <v>0</v>
      </c>
      <c r="K14" s="38">
        <v>656</v>
      </c>
      <c r="L14" s="41">
        <v>0</v>
      </c>
      <c r="M14" s="23">
        <v>656</v>
      </c>
      <c r="N14" s="22">
        <v>734.75</v>
      </c>
      <c r="O14" s="24">
        <v>106.56</v>
      </c>
      <c r="P14" s="40">
        <v>106.56</v>
      </c>
      <c r="Q14" s="23">
        <v>106.56</v>
      </c>
      <c r="R14" s="41">
        <v>656</v>
      </c>
      <c r="S14" s="57"/>
      <c r="T14" s="53">
        <f t="shared" si="2"/>
        <v>10656</v>
      </c>
      <c r="U14" s="79">
        <f t="shared" si="1"/>
        <v>8502.69</v>
      </c>
      <c r="V14" s="82"/>
      <c r="W14" s="83"/>
    </row>
    <row r="15" spans="1:23" x14ac:dyDescent="0.25">
      <c r="A15" s="141"/>
      <c r="B15" s="7" t="s">
        <v>13</v>
      </c>
      <c r="C15" s="3"/>
      <c r="D15" s="48">
        <f>O11</f>
        <v>106.56</v>
      </c>
      <c r="E15" s="5">
        <f t="shared" si="0"/>
        <v>106.56</v>
      </c>
      <c r="F15" s="166"/>
      <c r="H15" s="19" t="s">
        <v>32</v>
      </c>
      <c r="I15" s="22">
        <v>10000</v>
      </c>
      <c r="J15" s="24">
        <v>4000</v>
      </c>
      <c r="K15" s="38">
        <v>656</v>
      </c>
      <c r="L15" s="41">
        <v>0</v>
      </c>
      <c r="M15" s="23">
        <v>656</v>
      </c>
      <c r="N15" s="22">
        <v>1454.75</v>
      </c>
      <c r="O15" s="24">
        <v>124.78</v>
      </c>
      <c r="P15" s="40">
        <v>124.78</v>
      </c>
      <c r="Q15" s="23">
        <v>146.56</v>
      </c>
      <c r="R15" s="41">
        <v>656</v>
      </c>
      <c r="S15" s="57"/>
      <c r="T15" s="53">
        <f>I15+K15+L15</f>
        <v>10656</v>
      </c>
      <c r="U15" s="79">
        <f t="shared" si="1"/>
        <v>11764.47</v>
      </c>
      <c r="V15" s="82"/>
      <c r="W15" s="83"/>
    </row>
    <row r="16" spans="1:23" x14ac:dyDescent="0.25">
      <c r="A16" s="141" t="s">
        <v>4</v>
      </c>
      <c r="B16" s="7" t="s">
        <v>12</v>
      </c>
      <c r="C16" s="3"/>
      <c r="D16" s="48">
        <f>Q12</f>
        <v>106.56</v>
      </c>
      <c r="E16" s="5">
        <f t="shared" si="0"/>
        <v>106.56</v>
      </c>
      <c r="F16" s="167">
        <f>SUM(E16:E17)</f>
        <v>213.12</v>
      </c>
      <c r="H16" s="19" t="s">
        <v>33</v>
      </c>
      <c r="I16" s="22">
        <v>10000</v>
      </c>
      <c r="J16" s="24">
        <v>0</v>
      </c>
      <c r="K16" s="38">
        <v>656</v>
      </c>
      <c r="L16" s="41">
        <v>0</v>
      </c>
      <c r="M16" s="23">
        <v>656</v>
      </c>
      <c r="N16" s="22">
        <v>734.75</v>
      </c>
      <c r="O16" s="24">
        <v>106.56</v>
      </c>
      <c r="P16" s="40">
        <v>106.56</v>
      </c>
      <c r="Q16" s="23">
        <v>106.56</v>
      </c>
      <c r="R16" s="41">
        <v>656</v>
      </c>
      <c r="S16" s="57"/>
      <c r="T16" s="53">
        <f t="shared" si="2"/>
        <v>10656</v>
      </c>
      <c r="U16" s="79">
        <f t="shared" si="1"/>
        <v>8502.69</v>
      </c>
      <c r="V16" s="82"/>
      <c r="W16" s="83"/>
    </row>
    <row r="17" spans="1:29" ht="15.75" thickBot="1" x14ac:dyDescent="0.3">
      <c r="A17" s="141"/>
      <c r="B17" s="7" t="s">
        <v>13</v>
      </c>
      <c r="C17" s="3"/>
      <c r="D17" s="48">
        <f>O12</f>
        <v>106.56</v>
      </c>
      <c r="E17" s="5">
        <f t="shared" si="0"/>
        <v>106.56</v>
      </c>
      <c r="F17" s="167"/>
      <c r="H17" s="20" t="s">
        <v>34</v>
      </c>
      <c r="I17" s="26">
        <v>10000</v>
      </c>
      <c r="J17" s="28">
        <v>0</v>
      </c>
      <c r="K17" s="38">
        <v>656</v>
      </c>
      <c r="L17" s="43">
        <v>0</v>
      </c>
      <c r="M17" s="27">
        <v>656</v>
      </c>
      <c r="N17" s="26">
        <v>734.75</v>
      </c>
      <c r="O17" s="28">
        <v>106.56</v>
      </c>
      <c r="P17" s="42">
        <v>106.56</v>
      </c>
      <c r="Q17" s="27">
        <v>106.56</v>
      </c>
      <c r="R17" s="43">
        <v>656</v>
      </c>
      <c r="S17" s="58"/>
      <c r="T17" s="53">
        <f t="shared" si="2"/>
        <v>10656</v>
      </c>
      <c r="U17" s="80">
        <f t="shared" si="1"/>
        <v>8502.69</v>
      </c>
      <c r="V17" s="82"/>
      <c r="W17" s="83"/>
    </row>
    <row r="18" spans="1:29" ht="15.75" thickBot="1" x14ac:dyDescent="0.3">
      <c r="A18" s="141" t="s">
        <v>8</v>
      </c>
      <c r="B18" s="7" t="s">
        <v>12</v>
      </c>
      <c r="C18" s="3"/>
      <c r="D18" s="48">
        <f>Q13</f>
        <v>106.56</v>
      </c>
      <c r="E18" s="5">
        <f t="shared" si="0"/>
        <v>106.56</v>
      </c>
      <c r="F18" s="165">
        <f>SUM(E18:E19)</f>
        <v>213.12</v>
      </c>
      <c r="I18" s="29">
        <f t="shared" ref="I18:U18" si="3">SUM(I6:I17)</f>
        <v>120000</v>
      </c>
      <c r="J18" s="31">
        <f t="shared" si="3"/>
        <v>4000</v>
      </c>
      <c r="K18" s="29">
        <f t="shared" si="3"/>
        <v>7872</v>
      </c>
      <c r="L18" s="44">
        <f t="shared" si="3"/>
        <v>0</v>
      </c>
      <c r="M18" s="30">
        <f t="shared" si="3"/>
        <v>7872</v>
      </c>
      <c r="N18" s="37">
        <f t="shared" si="3"/>
        <v>9537</v>
      </c>
      <c r="O18" s="31">
        <f t="shared" si="3"/>
        <v>1296.9399999999996</v>
      </c>
      <c r="P18" s="29">
        <f t="shared" si="3"/>
        <v>1296.9399999999996</v>
      </c>
      <c r="Q18" s="30">
        <f t="shared" si="3"/>
        <v>1946.9099999999994</v>
      </c>
      <c r="R18" s="44">
        <f t="shared" si="3"/>
        <v>7872</v>
      </c>
      <c r="S18" s="59">
        <f>SUM(S6:S17)</f>
        <v>0</v>
      </c>
      <c r="T18" s="54">
        <f t="shared" si="3"/>
        <v>127872</v>
      </c>
      <c r="U18" s="81">
        <f t="shared" si="3"/>
        <v>105294.06000000001</v>
      </c>
      <c r="V18" s="82"/>
      <c r="W18" s="84" t="s">
        <v>56</v>
      </c>
    </row>
    <row r="19" spans="1:29" ht="15.75" thickBot="1" x14ac:dyDescent="0.3">
      <c r="A19" s="141"/>
      <c r="B19" s="7" t="s">
        <v>13</v>
      </c>
      <c r="C19" s="3"/>
      <c r="D19" s="48">
        <f>O13</f>
        <v>106.56</v>
      </c>
      <c r="E19" s="5">
        <f t="shared" si="0"/>
        <v>106.56</v>
      </c>
      <c r="F19" s="166"/>
      <c r="I19" s="50">
        <v>3601</v>
      </c>
      <c r="J19" s="50">
        <v>3605</v>
      </c>
      <c r="K19" s="50">
        <v>3810</v>
      </c>
      <c r="M19" s="50">
        <v>4005</v>
      </c>
      <c r="N19" s="50">
        <v>4102</v>
      </c>
      <c r="O19" s="145">
        <f>SUM(O18:P18)</f>
        <v>2593.8799999999992</v>
      </c>
      <c r="P19" s="146"/>
      <c r="R19" s="50" t="s">
        <v>47</v>
      </c>
      <c r="S19" s="50">
        <v>4116</v>
      </c>
      <c r="T19" s="50">
        <v>3698</v>
      </c>
    </row>
    <row r="20" spans="1:29" x14ac:dyDescent="0.25">
      <c r="A20" s="141" t="s">
        <v>5</v>
      </c>
      <c r="B20" s="7" t="s">
        <v>12</v>
      </c>
      <c r="C20" s="3"/>
      <c r="D20" s="48">
        <f>Q14</f>
        <v>106.56</v>
      </c>
      <c r="E20" s="5">
        <f t="shared" si="0"/>
        <v>106.56</v>
      </c>
      <c r="F20" s="167">
        <f>SUM(E20:E21)</f>
        <v>213.12</v>
      </c>
      <c r="O20" s="147">
        <v>4141</v>
      </c>
      <c r="P20" s="147"/>
      <c r="Q20" s="147"/>
      <c r="R20" s="147"/>
    </row>
    <row r="21" spans="1:29" x14ac:dyDescent="0.25">
      <c r="A21" s="141"/>
      <c r="B21" s="7" t="s">
        <v>13</v>
      </c>
      <c r="C21" s="3"/>
      <c r="D21" s="48">
        <f>O14</f>
        <v>106.56</v>
      </c>
      <c r="E21" s="5">
        <f t="shared" si="0"/>
        <v>106.56</v>
      </c>
      <c r="F21" s="167"/>
    </row>
    <row r="22" spans="1:29" ht="16.5" thickBot="1" x14ac:dyDescent="0.3">
      <c r="A22" s="141" t="s">
        <v>9</v>
      </c>
      <c r="B22" s="7" t="s">
        <v>12</v>
      </c>
      <c r="C22" s="3"/>
      <c r="D22" s="48">
        <f>Q15</f>
        <v>146.56</v>
      </c>
      <c r="E22" s="5">
        <f t="shared" si="0"/>
        <v>146.56</v>
      </c>
      <c r="F22" s="165">
        <f>SUM(E22:E23)</f>
        <v>271.34000000000003</v>
      </c>
      <c r="H22" s="46" t="s">
        <v>52</v>
      </c>
      <c r="I22" s="12"/>
      <c r="J22" s="12"/>
      <c r="K22" s="12"/>
    </row>
    <row r="23" spans="1:29" ht="16.5" thickBot="1" x14ac:dyDescent="0.3">
      <c r="A23" s="141"/>
      <c r="B23" s="7" t="s">
        <v>13</v>
      </c>
      <c r="C23" s="3"/>
      <c r="D23" s="48">
        <f>O15</f>
        <v>124.78</v>
      </c>
      <c r="E23" s="5">
        <f t="shared" si="0"/>
        <v>124.78</v>
      </c>
      <c r="F23" s="166"/>
      <c r="H23" s="12"/>
      <c r="I23" s="142" t="s">
        <v>36</v>
      </c>
      <c r="J23" s="144"/>
      <c r="K23" s="144"/>
      <c r="L23" s="143"/>
      <c r="M23" s="142" t="s">
        <v>37</v>
      </c>
      <c r="N23" s="143"/>
      <c r="O23" s="142" t="s">
        <v>38</v>
      </c>
      <c r="P23" s="144"/>
      <c r="Q23" s="144"/>
      <c r="R23" s="143"/>
      <c r="S23" s="142" t="s">
        <v>41</v>
      </c>
      <c r="T23" s="144"/>
      <c r="U23" s="144"/>
      <c r="V23" s="143"/>
      <c r="W23" s="136" t="s">
        <v>46</v>
      </c>
      <c r="X23" s="136" t="s">
        <v>39</v>
      </c>
      <c r="Y23" s="154" t="s">
        <v>42</v>
      </c>
      <c r="Z23" s="156" t="s">
        <v>43</v>
      </c>
      <c r="AA23" s="158" t="s">
        <v>44</v>
      </c>
    </row>
    <row r="24" spans="1:29" ht="15.75" thickBot="1" x14ac:dyDescent="0.3">
      <c r="A24" s="141" t="s">
        <v>10</v>
      </c>
      <c r="B24" s="7" t="s">
        <v>12</v>
      </c>
      <c r="C24" s="3"/>
      <c r="D24" s="48">
        <f>Q16</f>
        <v>106.56</v>
      </c>
      <c r="E24" s="5">
        <f t="shared" si="0"/>
        <v>106.56</v>
      </c>
      <c r="F24" s="167">
        <f>SUM(E24:E25)</f>
        <v>213.12</v>
      </c>
      <c r="H24" s="45" t="s">
        <v>22</v>
      </c>
      <c r="I24" s="14" t="s">
        <v>18</v>
      </c>
      <c r="J24" s="76" t="s">
        <v>49</v>
      </c>
      <c r="K24" s="15" t="s">
        <v>48</v>
      </c>
      <c r="L24" s="35" t="s">
        <v>35</v>
      </c>
      <c r="M24" s="14" t="s">
        <v>20</v>
      </c>
      <c r="N24" s="16" t="s">
        <v>45</v>
      </c>
      <c r="O24" s="15" t="s">
        <v>19</v>
      </c>
      <c r="P24" s="15" t="s">
        <v>20</v>
      </c>
      <c r="Q24" s="36" t="s">
        <v>12</v>
      </c>
      <c r="R24" s="35" t="s">
        <v>13</v>
      </c>
      <c r="S24" s="63" t="s">
        <v>13</v>
      </c>
      <c r="T24" s="61" t="s">
        <v>40</v>
      </c>
      <c r="U24" s="16" t="s">
        <v>20</v>
      </c>
      <c r="V24" s="16" t="s">
        <v>19</v>
      </c>
      <c r="W24" s="137"/>
      <c r="X24" s="137"/>
      <c r="Y24" s="155"/>
      <c r="Z24" s="157"/>
      <c r="AA24" s="159"/>
    </row>
    <row r="25" spans="1:29" x14ac:dyDescent="0.25">
      <c r="A25" s="141"/>
      <c r="B25" s="7" t="s">
        <v>13</v>
      </c>
      <c r="C25" s="3"/>
      <c r="D25" s="48">
        <f>O16</f>
        <v>106.56</v>
      </c>
      <c r="E25" s="5">
        <f t="shared" si="0"/>
        <v>106.56</v>
      </c>
      <c r="F25" s="167"/>
      <c r="H25" s="18" t="s">
        <v>23</v>
      </c>
      <c r="I25" s="32">
        <f>2428*4</f>
        <v>9712</v>
      </c>
      <c r="J25" s="57">
        <v>0</v>
      </c>
      <c r="K25" s="33">
        <v>0</v>
      </c>
      <c r="L25" s="34">
        <v>0</v>
      </c>
      <c r="M25" s="38">
        <f>378.25*4</f>
        <v>1513</v>
      </c>
      <c r="N25" s="39">
        <v>0</v>
      </c>
      <c r="O25" s="33">
        <f>160.25*4</f>
        <v>641</v>
      </c>
      <c r="P25" s="33">
        <f>M25</f>
        <v>1513</v>
      </c>
      <c r="Q25" s="32">
        <f>115.44+115.43+115.43+115.43</f>
        <v>461.73</v>
      </c>
      <c r="R25" s="34">
        <f>28.06*4</f>
        <v>112.24</v>
      </c>
      <c r="S25" s="64">
        <f>R25</f>
        <v>112.24</v>
      </c>
      <c r="T25" s="67">
        <v>105.84</v>
      </c>
      <c r="U25" s="33">
        <f>M25</f>
        <v>1513</v>
      </c>
      <c r="V25" s="70">
        <f>O25</f>
        <v>641</v>
      </c>
      <c r="W25" s="57">
        <v>566.76</v>
      </c>
      <c r="X25" s="53">
        <f t="shared" ref="X25:X34" si="4">I25+M25-O25+L25+J25+K25</f>
        <v>10584</v>
      </c>
      <c r="Y25" s="38">
        <f t="shared" ref="Y25:Y36" si="5">SUM(I25:L25)-SUM(O25:R25)</f>
        <v>6984.0300000000007</v>
      </c>
      <c r="Z25" s="71">
        <f>1046+1046.01+1146.01+1146.01</f>
        <v>4384.0300000000007</v>
      </c>
      <c r="AA25" s="78">
        <f>Y25-Z25</f>
        <v>2600</v>
      </c>
    </row>
    <row r="26" spans="1:29" x14ac:dyDescent="0.25">
      <c r="A26" s="141" t="s">
        <v>11</v>
      </c>
      <c r="B26" s="7" t="s">
        <v>12</v>
      </c>
      <c r="C26" s="3"/>
      <c r="D26" s="48">
        <f>Q17</f>
        <v>106.56</v>
      </c>
      <c r="E26" s="5">
        <f t="shared" si="0"/>
        <v>106.56</v>
      </c>
      <c r="F26" s="165">
        <f>SUM(E26:E27)</f>
        <v>213.12</v>
      </c>
      <c r="H26" s="19" t="s">
        <v>24</v>
      </c>
      <c r="I26" s="22">
        <f>2428*4</f>
        <v>9712</v>
      </c>
      <c r="J26" s="68">
        <v>0</v>
      </c>
      <c r="K26" s="23">
        <v>0</v>
      </c>
      <c r="L26" s="24">
        <v>0</v>
      </c>
      <c r="M26" s="38">
        <f>378.25*4</f>
        <v>1513</v>
      </c>
      <c r="N26" s="41">
        <v>0</v>
      </c>
      <c r="O26" s="23">
        <f>160.25*4</f>
        <v>641</v>
      </c>
      <c r="P26" s="23">
        <f t="shared" ref="P26:P36" si="6">M26</f>
        <v>1513</v>
      </c>
      <c r="Q26" s="22">
        <f>115.44+115.43+115.43+115.43</f>
        <v>461.73</v>
      </c>
      <c r="R26" s="24">
        <f>28.06*4</f>
        <v>112.24</v>
      </c>
      <c r="S26" s="25">
        <f t="shared" ref="S26:S36" si="7">R26</f>
        <v>112.24</v>
      </c>
      <c r="T26" s="68">
        <v>105.84</v>
      </c>
      <c r="U26" s="23">
        <f t="shared" ref="U26:U36" si="8">M26</f>
        <v>1513</v>
      </c>
      <c r="V26" s="70">
        <f t="shared" ref="V26:V36" si="9">O26</f>
        <v>641</v>
      </c>
      <c r="W26" s="57">
        <v>566.76</v>
      </c>
      <c r="X26" s="53">
        <f t="shared" si="4"/>
        <v>10584</v>
      </c>
      <c r="Y26" s="38">
        <f t="shared" si="5"/>
        <v>6984.0300000000007</v>
      </c>
      <c r="Z26" s="72">
        <f>1146+1046.01+1046.01+1046.01</f>
        <v>4284.0300000000007</v>
      </c>
      <c r="AA26" s="56">
        <f t="shared" ref="AA26:AA36" si="10">Y26-Z26</f>
        <v>2700</v>
      </c>
      <c r="AB26" s="1" t="s">
        <v>50</v>
      </c>
      <c r="AC26" s="1">
        <v>500</v>
      </c>
    </row>
    <row r="27" spans="1:29" ht="15.75" thickBot="1" x14ac:dyDescent="0.3">
      <c r="A27" s="141"/>
      <c r="B27" s="8" t="s">
        <v>13</v>
      </c>
      <c r="C27" s="4"/>
      <c r="D27" s="49">
        <f>O17</f>
        <v>106.56</v>
      </c>
      <c r="E27" s="5">
        <f t="shared" si="0"/>
        <v>106.56</v>
      </c>
      <c r="F27" s="166"/>
      <c r="H27" s="19" t="s">
        <v>25</v>
      </c>
      <c r="I27" s="22">
        <f>2760*4+2428</f>
        <v>13468</v>
      </c>
      <c r="J27" s="68">
        <f>724.5</f>
        <v>724.5</v>
      </c>
      <c r="K27" s="23">
        <v>0</v>
      </c>
      <c r="L27" s="24">
        <v>0</v>
      </c>
      <c r="M27" s="38">
        <f>378.25*5</f>
        <v>1891.25</v>
      </c>
      <c r="N27" s="41">
        <v>0</v>
      </c>
      <c r="O27" s="23">
        <f>182.16*4+160.25</f>
        <v>888.89</v>
      </c>
      <c r="P27" s="23">
        <f>378.25*4</f>
        <v>1513</v>
      </c>
      <c r="Q27" s="22">
        <f>171.23+171.24+171.26+301.64+115.43</f>
        <v>930.8</v>
      </c>
      <c r="R27" s="24">
        <f>28.8*4+28.06</f>
        <v>143.26</v>
      </c>
      <c r="S27" s="25">
        <f t="shared" si="7"/>
        <v>143.26</v>
      </c>
      <c r="T27" s="68">
        <v>151.94999999999999</v>
      </c>
      <c r="U27" s="23">
        <f t="shared" si="8"/>
        <v>1891.25</v>
      </c>
      <c r="V27" s="70">
        <f t="shared" si="9"/>
        <v>888.89</v>
      </c>
      <c r="W27" s="57">
        <v>708.45</v>
      </c>
      <c r="X27" s="53">
        <f t="shared" si="4"/>
        <v>15194.86</v>
      </c>
      <c r="Y27" s="38">
        <f t="shared" si="5"/>
        <v>10716.55</v>
      </c>
      <c r="Z27" s="72">
        <f>2377.81+1399.55+1399.53+1993.65+1146.01</f>
        <v>8316.5499999999993</v>
      </c>
      <c r="AA27" s="56">
        <f t="shared" si="10"/>
        <v>2400</v>
      </c>
    </row>
    <row r="28" spans="1:29" x14ac:dyDescent="0.25">
      <c r="H28" s="19" t="s">
        <v>26</v>
      </c>
      <c r="I28" s="22">
        <f>2760*4</f>
        <v>11040</v>
      </c>
      <c r="J28" s="68">
        <f>828+828</f>
        <v>1656</v>
      </c>
      <c r="K28" s="23">
        <v>0</v>
      </c>
      <c r="L28" s="24">
        <v>0</v>
      </c>
      <c r="M28" s="38">
        <f t="shared" ref="M28:M33" si="11">378.25*4</f>
        <v>1513</v>
      </c>
      <c r="N28" s="41">
        <v>0</v>
      </c>
      <c r="O28" s="23">
        <f>182.16*4</f>
        <v>728.64</v>
      </c>
      <c r="P28" s="23">
        <f t="shared" si="6"/>
        <v>1513</v>
      </c>
      <c r="Q28" s="22">
        <f>320.34+320.25+171.27+171.26</f>
        <v>983.11999999999989</v>
      </c>
      <c r="R28" s="24">
        <f>28.8*4</f>
        <v>115.2</v>
      </c>
      <c r="S28" s="25">
        <f t="shared" si="7"/>
        <v>115.2</v>
      </c>
      <c r="T28" s="68">
        <v>134.80000000000001</v>
      </c>
      <c r="U28" s="23">
        <f t="shared" si="8"/>
        <v>1513</v>
      </c>
      <c r="V28" s="70">
        <f t="shared" si="9"/>
        <v>728.64</v>
      </c>
      <c r="W28" s="57">
        <v>566.76</v>
      </c>
      <c r="X28" s="53">
        <f t="shared" si="4"/>
        <v>13480.36</v>
      </c>
      <c r="Y28" s="38">
        <f t="shared" si="5"/>
        <v>9356.0400000000009</v>
      </c>
      <c r="Z28" s="72">
        <f>2078.45+2078.54+1399.52+1399.53</f>
        <v>6956.04</v>
      </c>
      <c r="AA28" s="56">
        <f t="shared" si="10"/>
        <v>2400.0000000000009</v>
      </c>
    </row>
    <row r="29" spans="1:29" x14ac:dyDescent="0.25">
      <c r="A29" s="1" t="s">
        <v>61</v>
      </c>
      <c r="H29" s="19" t="s">
        <v>27</v>
      </c>
      <c r="I29" s="22">
        <f>2760*4</f>
        <v>11040</v>
      </c>
      <c r="J29" s="68">
        <f>828+828+828</f>
        <v>2484</v>
      </c>
      <c r="K29" s="23">
        <v>0</v>
      </c>
      <c r="L29" s="24">
        <v>0</v>
      </c>
      <c r="M29" s="38">
        <f t="shared" si="11"/>
        <v>1513</v>
      </c>
      <c r="N29" s="41">
        <v>0</v>
      </c>
      <c r="O29" s="23">
        <f>182.16*4</f>
        <v>728.64</v>
      </c>
      <c r="P29" s="23">
        <f t="shared" si="6"/>
        <v>1513</v>
      </c>
      <c r="Q29" s="22">
        <f>320.27+171.25+320.29+320.27</f>
        <v>1132.08</v>
      </c>
      <c r="R29" s="24">
        <f>28.8*4</f>
        <v>115.2</v>
      </c>
      <c r="S29" s="25">
        <f t="shared" si="7"/>
        <v>115.2</v>
      </c>
      <c r="T29" s="68">
        <v>143.08000000000001</v>
      </c>
      <c r="U29" s="23">
        <f t="shared" si="8"/>
        <v>1513</v>
      </c>
      <c r="V29" s="70">
        <f t="shared" si="9"/>
        <v>728.64</v>
      </c>
      <c r="W29" s="57">
        <v>566.76</v>
      </c>
      <c r="X29" s="53">
        <f t="shared" si="4"/>
        <v>14308.36</v>
      </c>
      <c r="Y29" s="38">
        <f t="shared" si="5"/>
        <v>10035.08</v>
      </c>
      <c r="Z29" s="72">
        <f>2078.52+1399.54+2078.5+2078.52</f>
        <v>7635.08</v>
      </c>
      <c r="AA29" s="56">
        <f t="shared" si="10"/>
        <v>2400</v>
      </c>
    </row>
    <row r="30" spans="1:29" x14ac:dyDescent="0.25">
      <c r="A30" s="1" t="s">
        <v>12</v>
      </c>
      <c r="C30" s="77">
        <f>N18+Q37+N56+P75+P94+P113+P132+P151+P170+P189</f>
        <v>29314.37</v>
      </c>
      <c r="H30" s="19" t="s">
        <v>28</v>
      </c>
      <c r="I30" s="22">
        <f>2760*5</f>
        <v>13800</v>
      </c>
      <c r="J30" s="68">
        <f>828+828+828+828+828</f>
        <v>4140</v>
      </c>
      <c r="K30" s="23">
        <v>0</v>
      </c>
      <c r="L30" s="24">
        <v>0</v>
      </c>
      <c r="M30" s="38">
        <f t="shared" si="11"/>
        <v>1513</v>
      </c>
      <c r="N30" s="41">
        <v>0</v>
      </c>
      <c r="O30" s="23">
        <f>182.16*5</f>
        <v>910.8</v>
      </c>
      <c r="P30" s="23">
        <f t="shared" si="6"/>
        <v>1513</v>
      </c>
      <c r="Q30" s="22">
        <f>417.69+370.69+370.59+370.62+355.43</f>
        <v>1885.0200000000002</v>
      </c>
      <c r="R30" s="24">
        <f>28.8*5</f>
        <v>144</v>
      </c>
      <c r="S30" s="25">
        <f t="shared" si="7"/>
        <v>144</v>
      </c>
      <c r="T30" s="68">
        <v>185.42</v>
      </c>
      <c r="U30" s="23">
        <f t="shared" si="8"/>
        <v>1513</v>
      </c>
      <c r="V30" s="70">
        <f t="shared" si="9"/>
        <v>910.8</v>
      </c>
      <c r="W30" s="57">
        <v>566.76</v>
      </c>
      <c r="X30" s="53">
        <f t="shared" si="4"/>
        <v>18542.2</v>
      </c>
      <c r="Y30" s="38">
        <f t="shared" si="5"/>
        <v>13487.18</v>
      </c>
      <c r="Z30" s="72">
        <f>2959.35+2028.1+2028.2+2028.17+2043.36</f>
        <v>11087.18</v>
      </c>
      <c r="AA30" s="56">
        <f t="shared" si="10"/>
        <v>2400</v>
      </c>
    </row>
    <row r="31" spans="1:29" x14ac:dyDescent="0.25">
      <c r="A31" s="1" t="s">
        <v>13</v>
      </c>
      <c r="C31" s="77">
        <f>O19+R38+O57+Q76+Q95+Q114+Q133+Q152+Q171+Q190</f>
        <v>12720.359999999999</v>
      </c>
      <c r="H31" s="19" t="s">
        <v>29</v>
      </c>
      <c r="I31" s="22">
        <f>2760*4</f>
        <v>11040</v>
      </c>
      <c r="J31" s="68">
        <f>828+1794+828+828+828</f>
        <v>5106</v>
      </c>
      <c r="K31" s="23">
        <v>0</v>
      </c>
      <c r="L31" s="24">
        <v>0</v>
      </c>
      <c r="M31" s="38">
        <f t="shared" si="11"/>
        <v>1513</v>
      </c>
      <c r="N31" s="41">
        <v>0</v>
      </c>
      <c r="O31" s="23">
        <f>182.16*4</f>
        <v>728.64</v>
      </c>
      <c r="P31" s="23">
        <f t="shared" si="6"/>
        <v>1513</v>
      </c>
      <c r="Q31" s="22">
        <f>819.24+370.5+370.68+370.63</f>
        <v>1931.0500000000002</v>
      </c>
      <c r="R31" s="24">
        <f>28.8*4</f>
        <v>115.2</v>
      </c>
      <c r="S31" s="25">
        <f t="shared" si="7"/>
        <v>115.2</v>
      </c>
      <c r="T31" s="68">
        <v>169.3</v>
      </c>
      <c r="U31" s="23">
        <f t="shared" si="8"/>
        <v>1513</v>
      </c>
      <c r="V31" s="70">
        <f t="shared" si="9"/>
        <v>728.64</v>
      </c>
      <c r="W31" s="57">
        <v>566.76</v>
      </c>
      <c r="X31" s="53">
        <f t="shared" si="4"/>
        <v>16930.36</v>
      </c>
      <c r="Y31" s="38">
        <f t="shared" si="5"/>
        <v>11858.11</v>
      </c>
      <c r="Z31" s="72">
        <f>3373.55+2028.29+2028.11+2028.16</f>
        <v>9458.11</v>
      </c>
      <c r="AA31" s="56">
        <f t="shared" si="10"/>
        <v>2400</v>
      </c>
    </row>
    <row r="32" spans="1:29" x14ac:dyDescent="0.25">
      <c r="C32" s="77">
        <f>SUM(C30:C31)</f>
        <v>42034.729999999996</v>
      </c>
      <c r="H32" s="19" t="s">
        <v>30</v>
      </c>
      <c r="I32" s="22">
        <f>2760*5</f>
        <v>13800</v>
      </c>
      <c r="J32" s="68">
        <f>828+1190.25+1035+776.25+983.25</f>
        <v>4812.75</v>
      </c>
      <c r="K32" s="23">
        <v>0</v>
      </c>
      <c r="L32" s="24">
        <v>0</v>
      </c>
      <c r="M32" s="38">
        <f t="shared" si="11"/>
        <v>1513</v>
      </c>
      <c r="N32" s="41">
        <v>0</v>
      </c>
      <c r="O32" s="23">
        <f>182.16*5</f>
        <v>910.8</v>
      </c>
      <c r="P32" s="23">
        <f t="shared" si="6"/>
        <v>1513</v>
      </c>
      <c r="Q32" s="22">
        <f>417.9+461.12+422.31+357.71+409.35</f>
        <v>2068.39</v>
      </c>
      <c r="R32" s="24">
        <f>28.8*5</f>
        <v>144</v>
      </c>
      <c r="S32" s="25">
        <f t="shared" si="7"/>
        <v>144</v>
      </c>
      <c r="T32" s="68">
        <v>192.14</v>
      </c>
      <c r="U32" s="23">
        <f t="shared" si="8"/>
        <v>1513</v>
      </c>
      <c r="V32" s="70">
        <f t="shared" si="9"/>
        <v>910.8</v>
      </c>
      <c r="W32" s="57">
        <v>566.76</v>
      </c>
      <c r="X32" s="53">
        <f t="shared" si="4"/>
        <v>19214.95</v>
      </c>
      <c r="Y32" s="38">
        <f t="shared" si="5"/>
        <v>13976.56</v>
      </c>
      <c r="Z32" s="72">
        <f>2959.14+2299.92+2183.48+1989.33+2144.69</f>
        <v>11576.56</v>
      </c>
      <c r="AA32" s="56">
        <f t="shared" si="10"/>
        <v>2400</v>
      </c>
    </row>
    <row r="33" spans="8:28" x14ac:dyDescent="0.25">
      <c r="H33" s="19" t="s">
        <v>31</v>
      </c>
      <c r="I33" s="22">
        <f>2760*4</f>
        <v>11040</v>
      </c>
      <c r="J33" s="68">
        <f>621+1138.5+1242+983.25</f>
        <v>3984.75</v>
      </c>
      <c r="K33" s="23">
        <v>0</v>
      </c>
      <c r="L33" s="24">
        <v>0</v>
      </c>
      <c r="M33" s="38">
        <f t="shared" si="11"/>
        <v>1513</v>
      </c>
      <c r="N33" s="41">
        <v>0</v>
      </c>
      <c r="O33" s="23">
        <f>182.16*4</f>
        <v>728.64</v>
      </c>
      <c r="P33" s="23">
        <f t="shared" si="6"/>
        <v>1513</v>
      </c>
      <c r="Q33" s="22">
        <f>318.84+448.33+474.09+409.31</f>
        <v>1650.57</v>
      </c>
      <c r="R33" s="24">
        <f>28.8*4</f>
        <v>115.2</v>
      </c>
      <c r="S33" s="25">
        <f t="shared" si="7"/>
        <v>115.2</v>
      </c>
      <c r="T33" s="68">
        <v>158.09</v>
      </c>
      <c r="U33" s="23">
        <f t="shared" si="8"/>
        <v>1513</v>
      </c>
      <c r="V33" s="70">
        <f t="shared" si="9"/>
        <v>728.64</v>
      </c>
      <c r="W33" s="57">
        <v>566.76</v>
      </c>
      <c r="X33" s="53">
        <f t="shared" si="4"/>
        <v>15809.11</v>
      </c>
      <c r="Y33" s="38">
        <f t="shared" si="5"/>
        <v>11017.34</v>
      </c>
      <c r="Z33" s="72">
        <f>1872.95+2260.96+2338.7+2144.73</f>
        <v>8617.34</v>
      </c>
      <c r="AA33" s="56">
        <f t="shared" si="10"/>
        <v>2400</v>
      </c>
    </row>
    <row r="34" spans="8:28" x14ac:dyDescent="0.25">
      <c r="H34" s="19" t="s">
        <v>32</v>
      </c>
      <c r="I34" s="22">
        <f>966+1552.5+2760+2760</f>
        <v>8038.5</v>
      </c>
      <c r="J34" s="68">
        <f>931.5+621</f>
        <v>1552.5</v>
      </c>
      <c r="K34" s="23">
        <v>7076.92</v>
      </c>
      <c r="L34" s="24">
        <v>10218.049999999999</v>
      </c>
      <c r="M34" s="38">
        <f>378.25+378.25+378.25+378.25</f>
        <v>1513</v>
      </c>
      <c r="N34" s="41">
        <v>0</v>
      </c>
      <c r="O34" s="23">
        <f>63.76+649.24+182.16</f>
        <v>895.16</v>
      </c>
      <c r="P34" s="23">
        <f>1513+378.25</f>
        <v>1891.25</v>
      </c>
      <c r="Q34" s="22">
        <f>1182.78+3302.26+318.95</f>
        <v>4803.99</v>
      </c>
      <c r="R34" s="24">
        <f>13.44+19.31+115.18+28.8</f>
        <v>176.73000000000002</v>
      </c>
      <c r="S34" s="25">
        <f t="shared" si="7"/>
        <v>176.73000000000002</v>
      </c>
      <c r="T34" s="68">
        <v>274</v>
      </c>
      <c r="U34" s="23">
        <f t="shared" si="8"/>
        <v>1513</v>
      </c>
      <c r="V34" s="70">
        <f t="shared" si="9"/>
        <v>895.16</v>
      </c>
      <c r="W34" s="57">
        <v>566.76</v>
      </c>
      <c r="X34" s="53">
        <f t="shared" si="4"/>
        <v>27503.809999999998</v>
      </c>
      <c r="Y34" s="38">
        <f t="shared" si="5"/>
        <v>19118.839999999997</v>
      </c>
      <c r="Z34" s="72">
        <f>888.8+350.41+13006.79+1872.84</f>
        <v>16118.84</v>
      </c>
      <c r="AA34" s="56">
        <f t="shared" si="10"/>
        <v>2999.9999999999964</v>
      </c>
      <c r="AB34" s="148"/>
    </row>
    <row r="35" spans="8:28" x14ac:dyDescent="0.25">
      <c r="H35" s="19" t="s">
        <v>33</v>
      </c>
      <c r="I35" s="22">
        <f>2760*4</f>
        <v>11040</v>
      </c>
      <c r="J35" s="68">
        <v>0</v>
      </c>
      <c r="K35" s="23">
        <v>0</v>
      </c>
      <c r="L35" s="24">
        <v>0</v>
      </c>
      <c r="M35" s="38">
        <f>415.62*3</f>
        <v>1246.8600000000001</v>
      </c>
      <c r="N35" s="41">
        <v>0</v>
      </c>
      <c r="O35" s="23">
        <f>182.16*4</f>
        <v>728.64</v>
      </c>
      <c r="P35" s="23">
        <f t="shared" si="6"/>
        <v>1246.8600000000001</v>
      </c>
      <c r="Q35" s="22">
        <f>66.14</f>
        <v>66.14</v>
      </c>
      <c r="R35" s="24">
        <f>27.6+28.8*3</f>
        <v>114</v>
      </c>
      <c r="S35" s="25">
        <f t="shared" si="7"/>
        <v>114</v>
      </c>
      <c r="T35" s="68">
        <v>115.57</v>
      </c>
      <c r="U35" s="23">
        <f t="shared" si="8"/>
        <v>1246.8600000000001</v>
      </c>
      <c r="V35" s="70">
        <f t="shared" si="9"/>
        <v>728.64</v>
      </c>
      <c r="W35" s="57">
        <v>425.07</v>
      </c>
      <c r="X35" s="53">
        <f>I35+M35+N35-O35</f>
        <v>11558.220000000001</v>
      </c>
      <c r="Y35" s="38">
        <f t="shared" si="5"/>
        <v>8884.36</v>
      </c>
      <c r="Z35" s="72">
        <f>2484.1+1533.42+1533.42+1533.42</f>
        <v>7084.3600000000006</v>
      </c>
      <c r="AA35" s="56">
        <f t="shared" si="10"/>
        <v>1800</v>
      </c>
      <c r="AB35" s="149"/>
    </row>
    <row r="36" spans="8:28" ht="15.75" thickBot="1" x14ac:dyDescent="0.3">
      <c r="H36" s="20" t="s">
        <v>34</v>
      </c>
      <c r="I36" s="26">
        <f>2760*4</f>
        <v>11040</v>
      </c>
      <c r="J36" s="69">
        <v>0</v>
      </c>
      <c r="K36" s="27">
        <v>0</v>
      </c>
      <c r="L36" s="28">
        <v>0</v>
      </c>
      <c r="M36" s="38">
        <f>415.62*4</f>
        <v>1662.48</v>
      </c>
      <c r="N36" s="43">
        <v>0</v>
      </c>
      <c r="O36" s="27">
        <f>182.16*4</f>
        <v>728.64</v>
      </c>
      <c r="P36" s="27">
        <f t="shared" si="6"/>
        <v>1662.48</v>
      </c>
      <c r="Q36" s="26">
        <f>172.91+172.82+172.96+173.09</f>
        <v>691.78000000000009</v>
      </c>
      <c r="R36" s="28">
        <f>28.8*4</f>
        <v>115.2</v>
      </c>
      <c r="S36" s="65">
        <f t="shared" si="7"/>
        <v>115.2</v>
      </c>
      <c r="T36" s="69">
        <v>119.72</v>
      </c>
      <c r="U36" s="27">
        <f t="shared" si="8"/>
        <v>1662.48</v>
      </c>
      <c r="V36" s="70">
        <f t="shared" si="9"/>
        <v>728.64</v>
      </c>
      <c r="W36" s="58">
        <v>566.76</v>
      </c>
      <c r="X36" s="53">
        <f>I36+M36+N36-O36</f>
        <v>11973.84</v>
      </c>
      <c r="Y36" s="38">
        <f t="shared" si="5"/>
        <v>7841.9</v>
      </c>
      <c r="Z36" s="73">
        <f>1360.51+1360.6+1360.46+1360.33</f>
        <v>5441.9</v>
      </c>
      <c r="AA36" s="56">
        <f t="shared" si="10"/>
        <v>2400</v>
      </c>
      <c r="AB36" s="77"/>
    </row>
    <row r="37" spans="8:28" ht="15.75" thickBot="1" x14ac:dyDescent="0.3">
      <c r="I37" s="29">
        <f t="shared" ref="I37" si="12">SUM(I25:I36)</f>
        <v>134770.5</v>
      </c>
      <c r="J37" s="59">
        <f>SUM(J25:J36)</f>
        <v>24460.5</v>
      </c>
      <c r="K37" s="30">
        <f>SUM(K25:K36)</f>
        <v>7076.92</v>
      </c>
      <c r="L37" s="31">
        <f t="shared" ref="L37" si="13">SUM(L25:L36)</f>
        <v>10218.049999999999</v>
      </c>
      <c r="M37" s="96">
        <f t="shared" ref="M37" si="14">SUM(M25:M36)</f>
        <v>18417.59</v>
      </c>
      <c r="N37" s="97">
        <f t="shared" ref="N37" si="15">SUM(N25:N36)</f>
        <v>0</v>
      </c>
      <c r="O37" s="98">
        <f t="shared" ref="O37" si="16">SUM(O25:O36)</f>
        <v>9259.49</v>
      </c>
      <c r="P37" s="99">
        <f t="shared" ref="P37" si="17">SUM(P25:P36)</f>
        <v>18417.59</v>
      </c>
      <c r="Q37" s="37">
        <f t="shared" ref="Q37" si="18">SUM(Q25:Q36)</f>
        <v>17066.399999999998</v>
      </c>
      <c r="R37" s="31">
        <f t="shared" ref="R37" si="19">SUM(R25:R36)</f>
        <v>1522.47</v>
      </c>
      <c r="S37" s="55">
        <f t="shared" ref="S37" si="20">SUM(S25:S36)</f>
        <v>1522.47</v>
      </c>
      <c r="T37" s="30">
        <f t="shared" ref="T37" si="21">SUM(T25:T36)</f>
        <v>1855.7499999999998</v>
      </c>
      <c r="U37" s="100">
        <f t="shared" ref="U37" si="22">SUM(U25:U36)</f>
        <v>18417.59</v>
      </c>
      <c r="V37" s="97">
        <f t="shared" ref="V37" si="23">SUM(V25:V36)</f>
        <v>9259.49</v>
      </c>
      <c r="W37" s="59">
        <f>SUM(W25:W36)</f>
        <v>6801.1200000000008</v>
      </c>
      <c r="X37" s="101">
        <f t="shared" ref="X37" si="24">SUM(X25:X36)</f>
        <v>185684.07</v>
      </c>
      <c r="Y37" s="55">
        <f t="shared" ref="Y37" si="25">SUM(Y25:Y36)</f>
        <v>130260.01999999999</v>
      </c>
      <c r="Z37" s="74">
        <f>SUM(Z25:Z36)</f>
        <v>100960.01999999999</v>
      </c>
      <c r="AA37" s="75"/>
    </row>
    <row r="38" spans="8:28" ht="15.75" thickBot="1" x14ac:dyDescent="0.3">
      <c r="I38" s="150">
        <f>SUM(I37:J37)</f>
        <v>159231</v>
      </c>
      <c r="J38" s="151"/>
      <c r="K38" s="152">
        <f>SUM(K37:L37)</f>
        <v>17294.97</v>
      </c>
      <c r="L38" s="153"/>
      <c r="M38" s="50">
        <v>3810</v>
      </c>
      <c r="P38" s="50">
        <v>4005</v>
      </c>
      <c r="Q38" s="50">
        <v>4102</v>
      </c>
      <c r="R38" s="145">
        <f>SUM(R37:S37)</f>
        <v>3044.94</v>
      </c>
      <c r="S38" s="146"/>
      <c r="U38" s="50" t="s">
        <v>47</v>
      </c>
      <c r="W38" s="50">
        <v>4116</v>
      </c>
      <c r="X38" s="50">
        <v>3698</v>
      </c>
    </row>
    <row r="39" spans="8:28" x14ac:dyDescent="0.25">
      <c r="I39" s="160">
        <v>3601</v>
      </c>
      <c r="J39" s="160"/>
      <c r="K39" s="161">
        <v>3605</v>
      </c>
      <c r="L39" s="161"/>
      <c r="R39" s="162">
        <v>4141</v>
      </c>
      <c r="S39" s="162"/>
    </row>
    <row r="41" spans="8:28" ht="16.5" thickBot="1" x14ac:dyDescent="0.3">
      <c r="H41" s="46" t="s">
        <v>51</v>
      </c>
      <c r="I41" s="12"/>
      <c r="J41" s="12"/>
      <c r="K41" s="12"/>
    </row>
    <row r="42" spans="8:28" ht="16.5" customHeight="1" thickBot="1" x14ac:dyDescent="0.3">
      <c r="H42" s="12"/>
      <c r="I42" s="142" t="s">
        <v>36</v>
      </c>
      <c r="J42" s="144"/>
      <c r="K42" s="144"/>
      <c r="L42" s="143"/>
      <c r="M42" s="142" t="s">
        <v>38</v>
      </c>
      <c r="N42" s="144"/>
      <c r="O42" s="143"/>
      <c r="P42" s="142" t="s">
        <v>41</v>
      </c>
      <c r="Q42" s="144"/>
      <c r="R42" s="143"/>
      <c r="S42" s="136" t="s">
        <v>39</v>
      </c>
      <c r="T42" s="154" t="s">
        <v>42</v>
      </c>
      <c r="U42" s="156" t="s">
        <v>43</v>
      </c>
      <c r="V42" s="158" t="s">
        <v>44</v>
      </c>
    </row>
    <row r="43" spans="8:28" ht="15.75" thickBot="1" x14ac:dyDescent="0.3">
      <c r="H43" s="45" t="s">
        <v>22</v>
      </c>
      <c r="I43" s="14" t="s">
        <v>18</v>
      </c>
      <c r="J43" s="76" t="s">
        <v>49</v>
      </c>
      <c r="K43" s="15" t="s">
        <v>48</v>
      </c>
      <c r="L43" s="35" t="s">
        <v>35</v>
      </c>
      <c r="M43" s="15" t="s">
        <v>19</v>
      </c>
      <c r="N43" s="36" t="s">
        <v>12</v>
      </c>
      <c r="O43" s="35" t="s">
        <v>13</v>
      </c>
      <c r="P43" s="85" t="s">
        <v>13</v>
      </c>
      <c r="Q43" s="88" t="s">
        <v>40</v>
      </c>
      <c r="R43" s="89" t="s">
        <v>19</v>
      </c>
      <c r="S43" s="137"/>
      <c r="T43" s="155"/>
      <c r="U43" s="157"/>
      <c r="V43" s="159"/>
    </row>
    <row r="44" spans="8:28" x14ac:dyDescent="0.25">
      <c r="H44" s="18" t="s">
        <v>23</v>
      </c>
      <c r="I44" s="32">
        <f>1291.6*4</f>
        <v>5166.3999999999996</v>
      </c>
      <c r="J44" s="57">
        <v>0</v>
      </c>
      <c r="K44" s="33">
        <v>0</v>
      </c>
      <c r="L44" s="34">
        <v>0</v>
      </c>
      <c r="M44" s="33">
        <v>0</v>
      </c>
      <c r="N44" s="32">
        <f>13.33+13.33+13.33+13.33</f>
        <v>53.32</v>
      </c>
      <c r="O44" s="34">
        <f>12.92*4</f>
        <v>51.68</v>
      </c>
      <c r="P44" s="86">
        <f>O44</f>
        <v>51.68</v>
      </c>
      <c r="Q44" s="23">
        <f>P44</f>
        <v>51.68</v>
      </c>
      <c r="R44" s="70">
        <f t="shared" ref="R44:R55" si="26">M44</f>
        <v>0</v>
      </c>
      <c r="S44" s="53">
        <f>I44-M44+L44+J44+K44</f>
        <v>5166.3999999999996</v>
      </c>
      <c r="T44" s="38">
        <f t="shared" ref="T44:T55" si="27">SUM(I44:L44)-SUM(M44:O44)</f>
        <v>5061.3999999999996</v>
      </c>
      <c r="U44" s="71">
        <f>1165.35+1165.35+1165.35+1165.35</f>
        <v>4661.3999999999996</v>
      </c>
      <c r="V44" s="78">
        <f>T44-U44</f>
        <v>400</v>
      </c>
    </row>
    <row r="45" spans="8:28" x14ac:dyDescent="0.25">
      <c r="H45" s="19" t="s">
        <v>24</v>
      </c>
      <c r="I45" s="22">
        <f>1291.6*4</f>
        <v>5166.3999999999996</v>
      </c>
      <c r="J45" s="68">
        <v>0</v>
      </c>
      <c r="K45" s="23">
        <v>0</v>
      </c>
      <c r="L45" s="24">
        <v>0</v>
      </c>
      <c r="M45" s="23">
        <v>0</v>
      </c>
      <c r="N45" s="22">
        <f>13.33+13.33+13.32+13.33</f>
        <v>53.31</v>
      </c>
      <c r="O45" s="24">
        <f>12.92*4</f>
        <v>51.68</v>
      </c>
      <c r="P45" s="87">
        <f t="shared" ref="P45:P55" si="28">O45</f>
        <v>51.68</v>
      </c>
      <c r="Q45" s="23">
        <f t="shared" ref="Q45:Q50" si="29">P45</f>
        <v>51.68</v>
      </c>
      <c r="R45" s="70">
        <f t="shared" si="26"/>
        <v>0</v>
      </c>
      <c r="S45" s="53">
        <f t="shared" ref="S45:S55" si="30">I45-M45+L45+J45+K45</f>
        <v>5166.3999999999996</v>
      </c>
      <c r="T45" s="38">
        <f t="shared" si="27"/>
        <v>5061.41</v>
      </c>
      <c r="U45" s="72">
        <f>1165.35+1165.35+1165.36+1165.35</f>
        <v>4661.41</v>
      </c>
      <c r="V45" s="56">
        <f t="shared" ref="V45:V55" si="31">T45-U45</f>
        <v>400</v>
      </c>
    </row>
    <row r="46" spans="8:28" x14ac:dyDescent="0.25">
      <c r="H46" s="19" t="s">
        <v>25</v>
      </c>
      <c r="I46" s="22">
        <f>1291.6*5</f>
        <v>6458</v>
      </c>
      <c r="J46" s="68">
        <f>96.87</f>
        <v>96.87</v>
      </c>
      <c r="K46" s="23">
        <v>0</v>
      </c>
      <c r="L46" s="24">
        <v>0</v>
      </c>
      <c r="M46" s="23">
        <v>0</v>
      </c>
      <c r="N46" s="22">
        <f>13.35+13.3+30.78+13.33+13.33</f>
        <v>84.09</v>
      </c>
      <c r="O46" s="24">
        <f>12.92*4+13.88</f>
        <v>65.56</v>
      </c>
      <c r="P46" s="87">
        <f t="shared" si="28"/>
        <v>65.56</v>
      </c>
      <c r="Q46" s="23">
        <f t="shared" si="29"/>
        <v>65.56</v>
      </c>
      <c r="R46" s="70">
        <f t="shared" si="26"/>
        <v>0</v>
      </c>
      <c r="S46" s="53">
        <f t="shared" si="30"/>
        <v>6554.87</v>
      </c>
      <c r="T46" s="38">
        <f t="shared" si="27"/>
        <v>6405.22</v>
      </c>
      <c r="U46" s="72">
        <f>1265.33+1165.38+1243.81+1165.35+1165.35</f>
        <v>6005.2199999999993</v>
      </c>
      <c r="V46" s="56">
        <f t="shared" si="31"/>
        <v>400.00000000000091</v>
      </c>
    </row>
    <row r="47" spans="8:28" x14ac:dyDescent="0.25">
      <c r="H47" s="19" t="s">
        <v>26</v>
      </c>
      <c r="I47" s="22">
        <f>1291.6*4</f>
        <v>5166.3999999999996</v>
      </c>
      <c r="J47" s="68">
        <v>0</v>
      </c>
      <c r="K47" s="23">
        <v>0</v>
      </c>
      <c r="L47" s="24">
        <v>0</v>
      </c>
      <c r="M47" s="23">
        <v>0</v>
      </c>
      <c r="N47" s="22">
        <f>13.31+13.33+13.33+13.32</f>
        <v>53.29</v>
      </c>
      <c r="O47" s="24">
        <f>12.92*4</f>
        <v>51.68</v>
      </c>
      <c r="P47" s="87">
        <f t="shared" si="28"/>
        <v>51.68</v>
      </c>
      <c r="Q47" s="23">
        <f t="shared" si="29"/>
        <v>51.68</v>
      </c>
      <c r="R47" s="70">
        <f t="shared" si="26"/>
        <v>0</v>
      </c>
      <c r="S47" s="53">
        <f t="shared" si="30"/>
        <v>5166.3999999999996</v>
      </c>
      <c r="T47" s="38">
        <f t="shared" si="27"/>
        <v>5061.4299999999994</v>
      </c>
      <c r="U47" s="72">
        <f>1165.37+1165.35+1165.35+1165.36</f>
        <v>4661.4299999999994</v>
      </c>
      <c r="V47" s="56">
        <f t="shared" si="31"/>
        <v>400</v>
      </c>
    </row>
    <row r="48" spans="8:28" x14ac:dyDescent="0.25">
      <c r="H48" s="19" t="s">
        <v>27</v>
      </c>
      <c r="I48" s="22">
        <f>1291.6*4</f>
        <v>5166.3999999999996</v>
      </c>
      <c r="J48" s="68">
        <v>145.31</v>
      </c>
      <c r="K48" s="23">
        <v>0</v>
      </c>
      <c r="L48" s="24">
        <v>0</v>
      </c>
      <c r="M48" s="23">
        <v>0</v>
      </c>
      <c r="N48" s="22">
        <f>13.33+13.35+13.32+39.49</f>
        <v>79.490000000000009</v>
      </c>
      <c r="O48" s="24">
        <f>12.92*3+14.37</f>
        <v>53.129999999999995</v>
      </c>
      <c r="P48" s="87">
        <f t="shared" si="28"/>
        <v>53.129999999999995</v>
      </c>
      <c r="Q48" s="23">
        <f t="shared" si="29"/>
        <v>53.129999999999995</v>
      </c>
      <c r="R48" s="70">
        <f t="shared" si="26"/>
        <v>0</v>
      </c>
      <c r="S48" s="53">
        <f t="shared" si="30"/>
        <v>5311.71</v>
      </c>
      <c r="T48" s="38">
        <f t="shared" si="27"/>
        <v>5179.09</v>
      </c>
      <c r="U48" s="72">
        <f>1065.35+1065.33+1165.36+1283.05</f>
        <v>4579.09</v>
      </c>
      <c r="V48" s="56">
        <f t="shared" si="31"/>
        <v>600</v>
      </c>
    </row>
    <row r="49" spans="8:24" x14ac:dyDescent="0.25">
      <c r="H49" s="19" t="s">
        <v>28</v>
      </c>
      <c r="I49" s="22">
        <f>1291.6*5</f>
        <v>6458</v>
      </c>
      <c r="J49" s="68">
        <v>0</v>
      </c>
      <c r="K49" s="23">
        <v>0</v>
      </c>
      <c r="L49" s="24">
        <v>0</v>
      </c>
      <c r="M49" s="23">
        <v>0</v>
      </c>
      <c r="N49" s="22">
        <f>13.28+13.34+13.32+13.33+13.36</f>
        <v>66.63</v>
      </c>
      <c r="O49" s="24">
        <f>12.92*5</f>
        <v>64.599999999999994</v>
      </c>
      <c r="P49" s="87">
        <f t="shared" si="28"/>
        <v>64.599999999999994</v>
      </c>
      <c r="Q49" s="23">
        <f t="shared" si="29"/>
        <v>64.599999999999994</v>
      </c>
      <c r="R49" s="70">
        <f t="shared" si="26"/>
        <v>0</v>
      </c>
      <c r="S49" s="53">
        <f t="shared" si="30"/>
        <v>6458</v>
      </c>
      <c r="T49" s="38">
        <f t="shared" si="27"/>
        <v>6326.77</v>
      </c>
      <c r="U49" s="72">
        <f>1265.4+1165.34+1065.36+1065.35+1065.32</f>
        <v>5626.7699999999986</v>
      </c>
      <c r="V49" s="56">
        <f t="shared" si="31"/>
        <v>700.00000000000182</v>
      </c>
    </row>
    <row r="50" spans="8:24" x14ac:dyDescent="0.25">
      <c r="H50" s="19" t="s">
        <v>29</v>
      </c>
      <c r="I50" s="22">
        <f>1291.6*4</f>
        <v>5166.3999999999996</v>
      </c>
      <c r="J50" s="68">
        <v>0</v>
      </c>
      <c r="K50" s="23">
        <v>0</v>
      </c>
      <c r="L50" s="24">
        <v>0</v>
      </c>
      <c r="M50" s="23">
        <v>0</v>
      </c>
      <c r="N50" s="22">
        <f>13.29+13.28+13.4+13.33</f>
        <v>53.3</v>
      </c>
      <c r="O50" s="24">
        <f>12.92*4</f>
        <v>51.68</v>
      </c>
      <c r="P50" s="87">
        <f t="shared" si="28"/>
        <v>51.68</v>
      </c>
      <c r="Q50" s="23">
        <f t="shared" si="29"/>
        <v>51.68</v>
      </c>
      <c r="R50" s="70">
        <f t="shared" si="26"/>
        <v>0</v>
      </c>
      <c r="S50" s="53">
        <f t="shared" si="30"/>
        <v>5166.3999999999996</v>
      </c>
      <c r="T50" s="38">
        <f t="shared" si="27"/>
        <v>5061.42</v>
      </c>
      <c r="U50" s="72">
        <f>1165.39+1165.4+1165.28+1165.35</f>
        <v>4661.42</v>
      </c>
      <c r="V50" s="56">
        <f t="shared" si="31"/>
        <v>400</v>
      </c>
    </row>
    <row r="51" spans="8:24" x14ac:dyDescent="0.25">
      <c r="H51" s="19" t="s">
        <v>30</v>
      </c>
      <c r="I51" s="22">
        <f>1291.6*5</f>
        <v>6458</v>
      </c>
      <c r="J51" s="68">
        <v>0</v>
      </c>
      <c r="K51" s="23">
        <v>0</v>
      </c>
      <c r="L51" s="24">
        <v>0</v>
      </c>
      <c r="M51" s="23">
        <v>0</v>
      </c>
      <c r="N51" s="22">
        <f>13.29+13.36+13.32+13.3+13.39</f>
        <v>66.66</v>
      </c>
      <c r="O51" s="24">
        <f>12.92*5</f>
        <v>64.599999999999994</v>
      </c>
      <c r="P51" s="87">
        <f t="shared" si="28"/>
        <v>64.599999999999994</v>
      </c>
      <c r="Q51" s="23">
        <v>64.599999999999994</v>
      </c>
      <c r="R51" s="70">
        <f t="shared" si="26"/>
        <v>0</v>
      </c>
      <c r="S51" s="53">
        <f t="shared" si="30"/>
        <v>6458</v>
      </c>
      <c r="T51" s="38">
        <f t="shared" si="27"/>
        <v>6326.74</v>
      </c>
      <c r="U51" s="72">
        <f>1265.39+1165.32+1165.36+1165.38+1165.29</f>
        <v>5926.74</v>
      </c>
      <c r="V51" s="56">
        <f t="shared" si="31"/>
        <v>400</v>
      </c>
    </row>
    <row r="52" spans="8:24" x14ac:dyDescent="0.25">
      <c r="H52" s="19" t="s">
        <v>31</v>
      </c>
      <c r="I52" s="22">
        <f>1291.6*4</f>
        <v>5166.3999999999996</v>
      </c>
      <c r="J52" s="68">
        <v>0</v>
      </c>
      <c r="K52" s="23">
        <v>0</v>
      </c>
      <c r="L52" s="24">
        <v>0</v>
      </c>
      <c r="M52" s="23">
        <v>0</v>
      </c>
      <c r="N52" s="22">
        <f>13.27+13.33+13.39+13.33</f>
        <v>53.32</v>
      </c>
      <c r="O52" s="24">
        <f>12.92*4</f>
        <v>51.68</v>
      </c>
      <c r="P52" s="87">
        <f t="shared" si="28"/>
        <v>51.68</v>
      </c>
      <c r="Q52" s="23">
        <v>51.68</v>
      </c>
      <c r="R52" s="70">
        <f t="shared" si="26"/>
        <v>0</v>
      </c>
      <c r="S52" s="53">
        <f t="shared" si="30"/>
        <v>5166.3999999999996</v>
      </c>
      <c r="T52" s="38">
        <f t="shared" si="27"/>
        <v>5061.3999999999996</v>
      </c>
      <c r="U52" s="72">
        <f>1165.41+1065.35+1065.29+1065.35</f>
        <v>4361.3999999999996</v>
      </c>
      <c r="V52" s="56">
        <f t="shared" si="31"/>
        <v>700</v>
      </c>
    </row>
    <row r="53" spans="8:24" x14ac:dyDescent="0.25">
      <c r="H53" s="19" t="s">
        <v>32</v>
      </c>
      <c r="I53" s="22">
        <f>96.87+1291.6*2</f>
        <v>2680.0699999999997</v>
      </c>
      <c r="J53" s="68">
        <v>0</v>
      </c>
      <c r="K53" s="23">
        <v>3311.79</v>
      </c>
      <c r="L53" s="24">
        <v>4781.75</v>
      </c>
      <c r="M53" s="23">
        <v>0</v>
      </c>
      <c r="N53" s="22">
        <f>812.68+13.34</f>
        <v>826.02</v>
      </c>
      <c r="O53" s="24">
        <f>93.85+12.92</f>
        <v>106.77</v>
      </c>
      <c r="P53" s="87">
        <f t="shared" si="28"/>
        <v>106.77</v>
      </c>
      <c r="Q53" s="23">
        <v>106.77</v>
      </c>
      <c r="R53" s="70">
        <f t="shared" si="26"/>
        <v>0</v>
      </c>
      <c r="S53" s="53">
        <f t="shared" si="30"/>
        <v>10773.61</v>
      </c>
      <c r="T53" s="38">
        <f t="shared" si="27"/>
        <v>9840.82</v>
      </c>
      <c r="U53" s="72">
        <f>96.87+7778.61+1165.34</f>
        <v>9040.82</v>
      </c>
      <c r="V53" s="56">
        <f t="shared" si="31"/>
        <v>800</v>
      </c>
    </row>
    <row r="54" spans="8:24" x14ac:dyDescent="0.25">
      <c r="H54" s="19" t="s">
        <v>33</v>
      </c>
      <c r="I54" s="22">
        <f>1291.6*4</f>
        <v>5166.3999999999996</v>
      </c>
      <c r="J54" s="68">
        <v>0</v>
      </c>
      <c r="K54" s="23">
        <v>0</v>
      </c>
      <c r="L54" s="24">
        <v>0</v>
      </c>
      <c r="M54" s="23">
        <v>0</v>
      </c>
      <c r="N54" s="22">
        <f>13.3+13.26+13.38+30.8</f>
        <v>70.740000000000009</v>
      </c>
      <c r="O54" s="24">
        <f>12.92*4</f>
        <v>51.68</v>
      </c>
      <c r="P54" s="87">
        <f t="shared" si="28"/>
        <v>51.68</v>
      </c>
      <c r="Q54" s="23">
        <v>51.68</v>
      </c>
      <c r="R54" s="70">
        <f t="shared" si="26"/>
        <v>0</v>
      </c>
      <c r="S54" s="53">
        <f t="shared" si="30"/>
        <v>5166.3999999999996</v>
      </c>
      <c r="T54" s="38">
        <f t="shared" si="27"/>
        <v>5043.9799999999996</v>
      </c>
      <c r="U54" s="72">
        <f>1165.38+1065.42+1065.3+1047.88</f>
        <v>4343.9800000000005</v>
      </c>
      <c r="V54" s="56">
        <f t="shared" si="31"/>
        <v>699.99999999999909</v>
      </c>
    </row>
    <row r="55" spans="8:24" ht="15.75" thickBot="1" x14ac:dyDescent="0.3">
      <c r="H55" s="20" t="s">
        <v>34</v>
      </c>
      <c r="I55" s="26">
        <f>1291.6*4</f>
        <v>5166.3999999999996</v>
      </c>
      <c r="J55" s="69">
        <f>60.54</f>
        <v>60.54</v>
      </c>
      <c r="K55" s="27">
        <v>0</v>
      </c>
      <c r="L55" s="28">
        <v>0</v>
      </c>
      <c r="M55" s="27">
        <v>0</v>
      </c>
      <c r="N55" s="26">
        <f>13.29+24.31+13.37+13.33</f>
        <v>64.3</v>
      </c>
      <c r="O55" s="28">
        <f>12.92+13.52+12.92+12.92</f>
        <v>52.28</v>
      </c>
      <c r="P55" s="80">
        <f t="shared" si="28"/>
        <v>52.28</v>
      </c>
      <c r="Q55" s="27">
        <v>52.28</v>
      </c>
      <c r="R55" s="70">
        <f t="shared" si="26"/>
        <v>0</v>
      </c>
      <c r="S55" s="53">
        <f t="shared" si="30"/>
        <v>5226.9399999999996</v>
      </c>
      <c r="T55" s="42">
        <f t="shared" si="27"/>
        <v>5110.3599999999997</v>
      </c>
      <c r="U55" s="73">
        <f>1065.39+1114.31+1065.31+1065.35</f>
        <v>4310.3599999999997</v>
      </c>
      <c r="V55" s="56">
        <f t="shared" si="31"/>
        <v>800</v>
      </c>
    </row>
    <row r="56" spans="8:24" ht="15.75" thickBot="1" x14ac:dyDescent="0.3">
      <c r="I56" s="29">
        <f t="shared" ref="I56" si="32">SUM(I44:I55)</f>
        <v>63385.270000000004</v>
      </c>
      <c r="J56" s="59">
        <f>SUM(J44:J55)</f>
        <v>302.72000000000003</v>
      </c>
      <c r="K56" s="30">
        <v>0</v>
      </c>
      <c r="L56" s="31">
        <f t="shared" ref="L56:R56" si="33">SUM(L44:L55)</f>
        <v>4781.75</v>
      </c>
      <c r="M56" s="98">
        <f t="shared" si="33"/>
        <v>0</v>
      </c>
      <c r="N56" s="37">
        <f t="shared" si="33"/>
        <v>1524.47</v>
      </c>
      <c r="O56" s="31">
        <f t="shared" si="33"/>
        <v>717.02</v>
      </c>
      <c r="P56" s="81">
        <f t="shared" si="33"/>
        <v>717.02</v>
      </c>
      <c r="Q56" s="98">
        <f t="shared" si="33"/>
        <v>717.02</v>
      </c>
      <c r="R56" s="102">
        <f t="shared" si="33"/>
        <v>0</v>
      </c>
      <c r="S56" s="101">
        <f t="shared" ref="S56:T56" si="34">SUM(S44:S55)</f>
        <v>71781.53</v>
      </c>
      <c r="T56" s="103">
        <f t="shared" si="34"/>
        <v>69540.039999999994</v>
      </c>
      <c r="U56" s="104">
        <f>SUM(U44:U55)</f>
        <v>62840.04</v>
      </c>
      <c r="V56" s="75"/>
    </row>
    <row r="57" spans="8:24" ht="15.75" thickBot="1" x14ac:dyDescent="0.3">
      <c r="I57" s="150">
        <f>SUM(I56:J56)</f>
        <v>63687.990000000005</v>
      </c>
      <c r="J57" s="151"/>
      <c r="K57" s="152">
        <f>SUM(K56:L56)</f>
        <v>4781.75</v>
      </c>
      <c r="L57" s="153"/>
      <c r="N57" s="50">
        <v>4102</v>
      </c>
      <c r="O57" s="145">
        <f>SUM(O56:P56)</f>
        <v>1434.04</v>
      </c>
      <c r="P57" s="146"/>
      <c r="S57" s="50">
        <v>3698</v>
      </c>
    </row>
    <row r="58" spans="8:24" x14ac:dyDescent="0.25">
      <c r="I58" s="160">
        <v>3601</v>
      </c>
      <c r="J58" s="160"/>
      <c r="K58" s="161">
        <v>3605</v>
      </c>
      <c r="L58" s="161"/>
      <c r="O58" s="162">
        <v>4141</v>
      </c>
      <c r="P58" s="162"/>
    </row>
    <row r="60" spans="8:24" ht="16.5" thickBot="1" x14ac:dyDescent="0.3">
      <c r="H60" s="46" t="s">
        <v>53</v>
      </c>
      <c r="I60" s="12"/>
      <c r="J60" s="12"/>
      <c r="K60" s="12"/>
    </row>
    <row r="61" spans="8:24" ht="16.5" customHeight="1" thickBot="1" x14ac:dyDescent="0.3">
      <c r="H61" s="12"/>
      <c r="I61" s="142" t="s">
        <v>36</v>
      </c>
      <c r="J61" s="144"/>
      <c r="K61" s="144"/>
      <c r="L61" s="143"/>
      <c r="M61" s="142" t="s">
        <v>37</v>
      </c>
      <c r="N61" s="143"/>
      <c r="O61" s="142" t="s">
        <v>38</v>
      </c>
      <c r="P61" s="144"/>
      <c r="Q61" s="143"/>
      <c r="R61" s="142" t="s">
        <v>41</v>
      </c>
      <c r="S61" s="144"/>
      <c r="T61" s="143"/>
      <c r="U61" s="136" t="s">
        <v>39</v>
      </c>
      <c r="V61" s="154" t="s">
        <v>42</v>
      </c>
      <c r="W61" s="156" t="s">
        <v>43</v>
      </c>
      <c r="X61" s="158" t="s">
        <v>44</v>
      </c>
    </row>
    <row r="62" spans="8:24" ht="15.75" thickBot="1" x14ac:dyDescent="0.3">
      <c r="H62" s="45" t="s">
        <v>22</v>
      </c>
      <c r="I62" s="14" t="s">
        <v>18</v>
      </c>
      <c r="J62" s="76" t="s">
        <v>49</v>
      </c>
      <c r="K62" s="15" t="s">
        <v>48</v>
      </c>
      <c r="L62" s="35" t="s">
        <v>35</v>
      </c>
      <c r="M62" s="14" t="s">
        <v>20</v>
      </c>
      <c r="N62" s="16" t="s">
        <v>45</v>
      </c>
      <c r="O62" s="15" t="s">
        <v>19</v>
      </c>
      <c r="P62" s="36" t="s">
        <v>12</v>
      </c>
      <c r="Q62" s="35" t="s">
        <v>13</v>
      </c>
      <c r="R62" s="85" t="s">
        <v>13</v>
      </c>
      <c r="S62" s="88" t="s">
        <v>40</v>
      </c>
      <c r="T62" s="16" t="s">
        <v>19</v>
      </c>
      <c r="U62" s="137"/>
      <c r="V62" s="155"/>
      <c r="W62" s="157"/>
      <c r="X62" s="159"/>
    </row>
    <row r="63" spans="8:24" x14ac:dyDescent="0.25">
      <c r="H63" s="18" t="s">
        <v>23</v>
      </c>
      <c r="I63" s="32">
        <f>646.4*4</f>
        <v>2585.6</v>
      </c>
      <c r="J63" s="57">
        <v>0</v>
      </c>
      <c r="K63" s="33">
        <v>0</v>
      </c>
      <c r="L63" s="34">
        <v>0</v>
      </c>
      <c r="M63" s="38">
        <v>0</v>
      </c>
      <c r="N63" s="39">
        <f>50*4</f>
        <v>200</v>
      </c>
      <c r="O63" s="33">
        <f>42.66*4</f>
        <v>170.64</v>
      </c>
      <c r="P63" s="32">
        <v>0</v>
      </c>
      <c r="Q63" s="34">
        <f>6.46*4</f>
        <v>25.84</v>
      </c>
      <c r="R63" s="86">
        <f>Q63</f>
        <v>25.84</v>
      </c>
      <c r="S63" s="21">
        <v>24.16</v>
      </c>
      <c r="T63" s="39">
        <f t="shared" ref="T63:T74" si="35">O63</f>
        <v>170.64</v>
      </c>
      <c r="U63" s="94">
        <f t="shared" ref="U63:U71" si="36">I63+M63-O63</f>
        <v>2414.96</v>
      </c>
      <c r="V63" s="38">
        <f t="shared" ref="V63:V74" si="37">SUM(I63:L63)+N63-SUM(O63:Q63)</f>
        <v>2589.12</v>
      </c>
      <c r="W63" s="71">
        <f>647.28*2+547.28*2</f>
        <v>2389.12</v>
      </c>
      <c r="X63" s="78">
        <f>V63-W63</f>
        <v>200</v>
      </c>
    </row>
    <row r="64" spans="8:24" x14ac:dyDescent="0.25">
      <c r="H64" s="19" t="s">
        <v>24</v>
      </c>
      <c r="I64" s="22">
        <f>646.4*4</f>
        <v>2585.6</v>
      </c>
      <c r="J64" s="68">
        <v>0</v>
      </c>
      <c r="K64" s="23">
        <v>0</v>
      </c>
      <c r="L64" s="24">
        <v>0</v>
      </c>
      <c r="M64" s="38">
        <v>0</v>
      </c>
      <c r="N64" s="41">
        <f>50*4</f>
        <v>200</v>
      </c>
      <c r="O64" s="23">
        <f>42.66*4</f>
        <v>170.64</v>
      </c>
      <c r="P64" s="22">
        <v>0</v>
      </c>
      <c r="Q64" s="24">
        <f>6.46*4</f>
        <v>25.84</v>
      </c>
      <c r="R64" s="87">
        <f t="shared" ref="R64:R74" si="38">Q64</f>
        <v>25.84</v>
      </c>
      <c r="S64" s="33">
        <v>24.16</v>
      </c>
      <c r="T64" s="39">
        <f t="shared" si="35"/>
        <v>170.64</v>
      </c>
      <c r="U64" s="94">
        <f t="shared" si="36"/>
        <v>2414.96</v>
      </c>
      <c r="V64" s="38">
        <f t="shared" si="37"/>
        <v>2589.12</v>
      </c>
      <c r="W64" s="72">
        <f>647.28*4</f>
        <v>2589.12</v>
      </c>
      <c r="X64" s="56">
        <f t="shared" ref="X64:X74" si="39">V64-W64</f>
        <v>0</v>
      </c>
    </row>
    <row r="65" spans="8:24" x14ac:dyDescent="0.25">
      <c r="H65" s="19" t="s">
        <v>25</v>
      </c>
      <c r="I65" s="22">
        <f>646.4*5</f>
        <v>3232</v>
      </c>
      <c r="J65" s="68">
        <v>0</v>
      </c>
      <c r="K65" s="23">
        <v>0</v>
      </c>
      <c r="L65" s="24">
        <v>0</v>
      </c>
      <c r="M65" s="38">
        <v>0</v>
      </c>
      <c r="N65" s="41">
        <f>50*5</f>
        <v>250</v>
      </c>
      <c r="O65" s="23">
        <f>42.66*5</f>
        <v>213.29999999999998</v>
      </c>
      <c r="P65" s="22">
        <v>0</v>
      </c>
      <c r="Q65" s="24">
        <f>6.46*5</f>
        <v>32.299999999999997</v>
      </c>
      <c r="R65" s="87">
        <f t="shared" si="38"/>
        <v>32.299999999999997</v>
      </c>
      <c r="S65" s="33">
        <v>30.2</v>
      </c>
      <c r="T65" s="39">
        <f t="shared" si="35"/>
        <v>213.29999999999998</v>
      </c>
      <c r="U65" s="94">
        <f t="shared" si="36"/>
        <v>3018.7</v>
      </c>
      <c r="V65" s="38">
        <f t="shared" si="37"/>
        <v>3236.4</v>
      </c>
      <c r="W65" s="72">
        <f>647.28*5</f>
        <v>3236.3999999999996</v>
      </c>
      <c r="X65" s="56">
        <f t="shared" si="39"/>
        <v>0</v>
      </c>
    </row>
    <row r="66" spans="8:24" x14ac:dyDescent="0.25">
      <c r="H66" s="19" t="s">
        <v>26</v>
      </c>
      <c r="I66" s="22">
        <f>646.4*4</f>
        <v>2585.6</v>
      </c>
      <c r="J66" s="68">
        <v>0</v>
      </c>
      <c r="K66" s="23">
        <v>0</v>
      </c>
      <c r="L66" s="24">
        <v>0</v>
      </c>
      <c r="M66" s="38">
        <v>0</v>
      </c>
      <c r="N66" s="41">
        <f>50*4</f>
        <v>200</v>
      </c>
      <c r="O66" s="23">
        <f>42.66*4</f>
        <v>170.64</v>
      </c>
      <c r="P66" s="22">
        <v>0</v>
      </c>
      <c r="Q66" s="24">
        <f>6.46*4</f>
        <v>25.84</v>
      </c>
      <c r="R66" s="87">
        <f t="shared" si="38"/>
        <v>25.84</v>
      </c>
      <c r="S66" s="33">
        <v>24.16</v>
      </c>
      <c r="T66" s="39">
        <f t="shared" si="35"/>
        <v>170.64</v>
      </c>
      <c r="U66" s="94">
        <f t="shared" si="36"/>
        <v>2414.96</v>
      </c>
      <c r="V66" s="38">
        <f t="shared" si="37"/>
        <v>2589.12</v>
      </c>
      <c r="W66" s="72">
        <f>647.28*4</f>
        <v>2589.12</v>
      </c>
      <c r="X66" s="56">
        <f t="shared" si="39"/>
        <v>0</v>
      </c>
    </row>
    <row r="67" spans="8:24" x14ac:dyDescent="0.25">
      <c r="H67" s="19" t="s">
        <v>27</v>
      </c>
      <c r="I67" s="22">
        <f>646.4*4</f>
        <v>2585.6</v>
      </c>
      <c r="J67" s="68">
        <v>0</v>
      </c>
      <c r="K67" s="23">
        <v>0</v>
      </c>
      <c r="L67" s="24">
        <v>0</v>
      </c>
      <c r="M67" s="38">
        <v>0</v>
      </c>
      <c r="N67" s="41">
        <f>50*4</f>
        <v>200</v>
      </c>
      <c r="O67" s="23">
        <f>42.66*4</f>
        <v>170.64</v>
      </c>
      <c r="P67" s="22">
        <v>0</v>
      </c>
      <c r="Q67" s="24">
        <f>6.46*4</f>
        <v>25.84</v>
      </c>
      <c r="R67" s="87">
        <f t="shared" si="38"/>
        <v>25.84</v>
      </c>
      <c r="S67" s="33">
        <v>24.16</v>
      </c>
      <c r="T67" s="39">
        <f t="shared" si="35"/>
        <v>170.64</v>
      </c>
      <c r="U67" s="94">
        <f t="shared" si="36"/>
        <v>2414.96</v>
      </c>
      <c r="V67" s="38">
        <f t="shared" si="37"/>
        <v>2589.12</v>
      </c>
      <c r="W67" s="72">
        <f>547.28+647.28+647.28+647.28</f>
        <v>2489.12</v>
      </c>
      <c r="X67" s="56">
        <f t="shared" si="39"/>
        <v>100</v>
      </c>
    </row>
    <row r="68" spans="8:24" x14ac:dyDescent="0.25">
      <c r="H68" s="19" t="s">
        <v>28</v>
      </c>
      <c r="I68" s="22">
        <f>760*5</f>
        <v>3800</v>
      </c>
      <c r="J68" s="68">
        <v>0</v>
      </c>
      <c r="K68" s="23">
        <v>0</v>
      </c>
      <c r="L68" s="24">
        <v>0</v>
      </c>
      <c r="M68" s="38">
        <v>0</v>
      </c>
      <c r="N68" s="41">
        <f>50*5</f>
        <v>250</v>
      </c>
      <c r="O68" s="23">
        <f>50.16*5</f>
        <v>250.79999999999998</v>
      </c>
      <c r="P68" s="22">
        <v>0</v>
      </c>
      <c r="Q68" s="24">
        <f>7.6*5</f>
        <v>38</v>
      </c>
      <c r="R68" s="87">
        <f t="shared" si="38"/>
        <v>38</v>
      </c>
      <c r="S68" s="33">
        <v>35.5</v>
      </c>
      <c r="T68" s="39">
        <f t="shared" si="35"/>
        <v>250.79999999999998</v>
      </c>
      <c r="U68" s="94">
        <f t="shared" si="36"/>
        <v>3549.2</v>
      </c>
      <c r="V68" s="38">
        <f t="shared" si="37"/>
        <v>3761.2</v>
      </c>
      <c r="W68" s="72">
        <f>689.74*4+652.24</f>
        <v>3411.2</v>
      </c>
      <c r="X68" s="56">
        <f t="shared" si="39"/>
        <v>350</v>
      </c>
    </row>
    <row r="69" spans="8:24" x14ac:dyDescent="0.25">
      <c r="H69" s="19" t="s">
        <v>29</v>
      </c>
      <c r="I69" s="22">
        <f>760*4</f>
        <v>3040</v>
      </c>
      <c r="J69" s="68">
        <v>0</v>
      </c>
      <c r="K69" s="23">
        <v>0</v>
      </c>
      <c r="L69" s="24">
        <v>0</v>
      </c>
      <c r="M69" s="38">
        <v>0</v>
      </c>
      <c r="N69" s="41">
        <f>50*4</f>
        <v>200</v>
      </c>
      <c r="O69" s="23">
        <f>50.16*4</f>
        <v>200.64</v>
      </c>
      <c r="P69" s="22">
        <v>0</v>
      </c>
      <c r="Q69" s="24">
        <f>7.6*4</f>
        <v>30.4</v>
      </c>
      <c r="R69" s="87">
        <f t="shared" si="38"/>
        <v>30.4</v>
      </c>
      <c r="S69" s="33">
        <v>28.4</v>
      </c>
      <c r="T69" s="39">
        <f t="shared" si="35"/>
        <v>200.64</v>
      </c>
      <c r="U69" s="94">
        <f t="shared" si="36"/>
        <v>2839.36</v>
      </c>
      <c r="V69" s="38">
        <f t="shared" si="37"/>
        <v>3008.96</v>
      </c>
      <c r="W69" s="72">
        <f>689.74+689.74+689.74+689.74</f>
        <v>2758.96</v>
      </c>
      <c r="X69" s="56">
        <f t="shared" si="39"/>
        <v>250</v>
      </c>
    </row>
    <row r="70" spans="8:24" x14ac:dyDescent="0.25">
      <c r="H70" s="19" t="s">
        <v>30</v>
      </c>
      <c r="I70" s="22">
        <f>760*5</f>
        <v>3800</v>
      </c>
      <c r="J70" s="68">
        <v>0</v>
      </c>
      <c r="K70" s="23">
        <v>0</v>
      </c>
      <c r="L70" s="24">
        <v>0</v>
      </c>
      <c r="M70" s="38">
        <v>0</v>
      </c>
      <c r="N70" s="41">
        <f>50*5</f>
        <v>250</v>
      </c>
      <c r="O70" s="23">
        <f>50.16*5</f>
        <v>250.79999999999998</v>
      </c>
      <c r="P70" s="22">
        <v>0</v>
      </c>
      <c r="Q70" s="24">
        <f>7.6*5</f>
        <v>38</v>
      </c>
      <c r="R70" s="87">
        <f t="shared" si="38"/>
        <v>38</v>
      </c>
      <c r="S70" s="33">
        <v>35.5</v>
      </c>
      <c r="T70" s="39">
        <f t="shared" si="35"/>
        <v>250.79999999999998</v>
      </c>
      <c r="U70" s="94">
        <f t="shared" si="36"/>
        <v>3549.2</v>
      </c>
      <c r="V70" s="38">
        <f t="shared" si="37"/>
        <v>3761.2</v>
      </c>
      <c r="W70" s="72">
        <f>689.74*5</f>
        <v>3448.7</v>
      </c>
      <c r="X70" s="56">
        <f t="shared" si="39"/>
        <v>312.5</v>
      </c>
    </row>
    <row r="71" spans="8:24" x14ac:dyDescent="0.25">
      <c r="H71" s="19" t="s">
        <v>31</v>
      </c>
      <c r="I71" s="22">
        <f>760*4</f>
        <v>3040</v>
      </c>
      <c r="J71" s="68">
        <v>0</v>
      </c>
      <c r="K71" s="23">
        <v>0</v>
      </c>
      <c r="L71" s="24">
        <v>0</v>
      </c>
      <c r="M71" s="38">
        <v>0</v>
      </c>
      <c r="N71" s="41">
        <f>50*4</f>
        <v>200</v>
      </c>
      <c r="O71" s="23">
        <f>50.16*4</f>
        <v>200.64</v>
      </c>
      <c r="P71" s="22">
        <v>0</v>
      </c>
      <c r="Q71" s="24">
        <f>7.6*4</f>
        <v>30.4</v>
      </c>
      <c r="R71" s="87">
        <f t="shared" si="38"/>
        <v>30.4</v>
      </c>
      <c r="S71" s="33">
        <v>28.4</v>
      </c>
      <c r="T71" s="39">
        <f t="shared" si="35"/>
        <v>200.64</v>
      </c>
      <c r="U71" s="94">
        <f t="shared" si="36"/>
        <v>2839.36</v>
      </c>
      <c r="V71" s="38">
        <f t="shared" si="37"/>
        <v>3008.96</v>
      </c>
      <c r="W71" s="72">
        <f>489.74+489.74+489.74+689.74</f>
        <v>2158.96</v>
      </c>
      <c r="X71" s="56">
        <f t="shared" si="39"/>
        <v>850</v>
      </c>
    </row>
    <row r="72" spans="8:24" x14ac:dyDescent="0.25">
      <c r="H72" s="19" t="s">
        <v>32</v>
      </c>
      <c r="I72" s="22">
        <f>760+760</f>
        <v>1520</v>
      </c>
      <c r="J72" s="68">
        <v>0</v>
      </c>
      <c r="K72" s="23">
        <v>2533.33</v>
      </c>
      <c r="L72" s="24">
        <v>2743.33</v>
      </c>
      <c r="M72" s="38">
        <v>0</v>
      </c>
      <c r="N72" s="41">
        <f>50*2</f>
        <v>100</v>
      </c>
      <c r="O72" s="23">
        <f>200.64+50.16</f>
        <v>250.79999999999998</v>
      </c>
      <c r="P72" s="22">
        <v>0</v>
      </c>
      <c r="Q72" s="24">
        <f>60.37+7.6</f>
        <v>67.97</v>
      </c>
      <c r="R72" s="87">
        <f t="shared" si="38"/>
        <v>67.97</v>
      </c>
      <c r="S72" s="33">
        <v>65.459999999999994</v>
      </c>
      <c r="T72" s="39">
        <f t="shared" si="35"/>
        <v>250.79999999999998</v>
      </c>
      <c r="U72" s="94">
        <f>I72+M72+K72+L72-O72</f>
        <v>6545.86</v>
      </c>
      <c r="V72" s="38">
        <f t="shared" si="37"/>
        <v>6577.8899999999994</v>
      </c>
      <c r="W72" s="72">
        <f>5575.65+689.74</f>
        <v>6265.3899999999994</v>
      </c>
      <c r="X72" s="56">
        <f t="shared" si="39"/>
        <v>312.5</v>
      </c>
    </row>
    <row r="73" spans="8:24" x14ac:dyDescent="0.25">
      <c r="H73" s="19" t="s">
        <v>33</v>
      </c>
      <c r="I73" s="22">
        <f>760*4</f>
        <v>3040</v>
      </c>
      <c r="J73" s="68">
        <v>0</v>
      </c>
      <c r="K73" s="23">
        <v>0</v>
      </c>
      <c r="L73" s="24">
        <v>0</v>
      </c>
      <c r="M73" s="38">
        <v>0</v>
      </c>
      <c r="N73" s="41">
        <f>50*4</f>
        <v>200</v>
      </c>
      <c r="O73" s="23">
        <f>50.16*4</f>
        <v>200.64</v>
      </c>
      <c r="P73" s="22">
        <v>0</v>
      </c>
      <c r="Q73" s="24">
        <f>7.6*4</f>
        <v>30.4</v>
      </c>
      <c r="R73" s="87">
        <f t="shared" si="38"/>
        <v>30.4</v>
      </c>
      <c r="S73" s="23">
        <v>28.4</v>
      </c>
      <c r="T73" s="39">
        <f t="shared" si="35"/>
        <v>200.64</v>
      </c>
      <c r="U73" s="94">
        <f>I73+M73-O73</f>
        <v>2839.36</v>
      </c>
      <c r="V73" s="38">
        <f t="shared" si="37"/>
        <v>3008.96</v>
      </c>
      <c r="W73" s="72">
        <f>652.24+652.24+689.74+689.74</f>
        <v>2683.96</v>
      </c>
      <c r="X73" s="56">
        <f t="shared" si="39"/>
        <v>325</v>
      </c>
    </row>
    <row r="74" spans="8:24" ht="15.75" thickBot="1" x14ac:dyDescent="0.3">
      <c r="H74" s="20" t="s">
        <v>34</v>
      </c>
      <c r="I74" s="26">
        <f>760*4</f>
        <v>3040</v>
      </c>
      <c r="J74" s="69">
        <v>0</v>
      </c>
      <c r="K74" s="27">
        <v>0</v>
      </c>
      <c r="L74" s="28">
        <v>0</v>
      </c>
      <c r="M74" s="38">
        <v>0</v>
      </c>
      <c r="N74" s="43">
        <f>50*4</f>
        <v>200</v>
      </c>
      <c r="O74" s="27">
        <f>50.16*4</f>
        <v>200.64</v>
      </c>
      <c r="P74" s="26">
        <v>0</v>
      </c>
      <c r="Q74" s="28">
        <f>7.6*4</f>
        <v>30.4</v>
      </c>
      <c r="R74" s="80">
        <f t="shared" si="38"/>
        <v>30.4</v>
      </c>
      <c r="S74" s="66">
        <v>28.4</v>
      </c>
      <c r="T74" s="39">
        <f t="shared" si="35"/>
        <v>200.64</v>
      </c>
      <c r="U74" s="53">
        <f>I74+M74-O74</f>
        <v>2839.36</v>
      </c>
      <c r="V74" s="42">
        <f t="shared" si="37"/>
        <v>3008.96</v>
      </c>
      <c r="W74" s="73">
        <f>652.24+652.24+652.24+652.24</f>
        <v>2608.96</v>
      </c>
      <c r="X74" s="56">
        <f t="shared" si="39"/>
        <v>400</v>
      </c>
    </row>
    <row r="75" spans="8:24" ht="15.75" thickBot="1" x14ac:dyDescent="0.3">
      <c r="I75" s="29">
        <f t="shared" ref="I75" si="40">SUM(I63:I74)</f>
        <v>34854.400000000001</v>
      </c>
      <c r="J75" s="59">
        <f>SUM(J63:J74)</f>
        <v>0</v>
      </c>
      <c r="K75" s="30">
        <f>SUM(K63:K74)</f>
        <v>2533.33</v>
      </c>
      <c r="L75" s="31">
        <f t="shared" ref="L75:T75" si="41">SUM(L63:L74)</f>
        <v>2743.33</v>
      </c>
      <c r="M75" s="29">
        <f t="shared" si="41"/>
        <v>0</v>
      </c>
      <c r="N75" s="44">
        <f t="shared" si="41"/>
        <v>2450</v>
      </c>
      <c r="O75" s="30">
        <f t="shared" si="41"/>
        <v>2450.8199999999997</v>
      </c>
      <c r="P75" s="37">
        <f t="shared" si="41"/>
        <v>0</v>
      </c>
      <c r="Q75" s="31">
        <f t="shared" si="41"/>
        <v>401.2299999999999</v>
      </c>
      <c r="R75" s="81">
        <f t="shared" si="41"/>
        <v>401.2299999999999</v>
      </c>
      <c r="S75" s="30">
        <f t="shared" si="41"/>
        <v>376.89999999999992</v>
      </c>
      <c r="T75" s="44">
        <f t="shared" si="41"/>
        <v>2450.8199999999997</v>
      </c>
      <c r="U75" s="54">
        <f t="shared" ref="U75:V75" si="42">SUM(U63:U74)</f>
        <v>37680.240000000005</v>
      </c>
      <c r="V75" s="55">
        <f t="shared" si="42"/>
        <v>39729.009999999995</v>
      </c>
      <c r="W75" s="74">
        <f>SUM(W63:W74)</f>
        <v>36629.009999999995</v>
      </c>
      <c r="X75" s="75"/>
    </row>
    <row r="76" spans="8:24" ht="15.75" thickBot="1" x14ac:dyDescent="0.3">
      <c r="I76" s="150">
        <f>SUM(I75:J75)</f>
        <v>34854.400000000001</v>
      </c>
      <c r="J76" s="151"/>
      <c r="K76" s="152">
        <f>SUM(K75:L75)</f>
        <v>5276.66</v>
      </c>
      <c r="L76" s="153"/>
      <c r="M76" s="50">
        <v>3810</v>
      </c>
      <c r="P76" s="50">
        <v>4102</v>
      </c>
      <c r="Q76" s="145">
        <f>SUM(Q75:R75)</f>
        <v>802.45999999999981</v>
      </c>
      <c r="R76" s="146"/>
      <c r="U76" s="50">
        <v>3698</v>
      </c>
    </row>
    <row r="77" spans="8:24" x14ac:dyDescent="0.25">
      <c r="I77" s="160">
        <v>3601</v>
      </c>
      <c r="J77" s="160"/>
      <c r="K77" s="161">
        <v>3605</v>
      </c>
      <c r="L77" s="161"/>
      <c r="Q77" s="162">
        <v>4141</v>
      </c>
      <c r="R77" s="162"/>
    </row>
    <row r="79" spans="8:24" ht="16.5" thickBot="1" x14ac:dyDescent="0.3">
      <c r="H79" s="46" t="s">
        <v>54</v>
      </c>
      <c r="I79" s="12"/>
      <c r="J79" s="12"/>
      <c r="K79" s="12"/>
    </row>
    <row r="80" spans="8:24" ht="16.5" thickBot="1" x14ac:dyDescent="0.3">
      <c r="H80" s="12"/>
      <c r="I80" s="142" t="s">
        <v>36</v>
      </c>
      <c r="J80" s="144"/>
      <c r="K80" s="144"/>
      <c r="L80" s="143"/>
      <c r="M80" s="142" t="s">
        <v>37</v>
      </c>
      <c r="N80" s="143"/>
      <c r="O80" s="142" t="s">
        <v>38</v>
      </c>
      <c r="P80" s="144"/>
      <c r="Q80" s="143"/>
      <c r="R80" s="142" t="s">
        <v>41</v>
      </c>
      <c r="S80" s="144"/>
      <c r="T80" s="143"/>
      <c r="U80" s="136" t="s">
        <v>39</v>
      </c>
      <c r="V80" s="154" t="s">
        <v>42</v>
      </c>
      <c r="W80" s="156" t="s">
        <v>43</v>
      </c>
      <c r="X80" s="158" t="s">
        <v>44</v>
      </c>
    </row>
    <row r="81" spans="8:24" ht="15.75" thickBot="1" x14ac:dyDescent="0.3">
      <c r="H81" s="45" t="s">
        <v>22</v>
      </c>
      <c r="I81" s="14" t="s">
        <v>18</v>
      </c>
      <c r="J81" s="76" t="s">
        <v>49</v>
      </c>
      <c r="K81" s="15" t="s">
        <v>48</v>
      </c>
      <c r="L81" s="35" t="s">
        <v>35</v>
      </c>
      <c r="M81" s="14" t="s">
        <v>20</v>
      </c>
      <c r="N81" s="16" t="s">
        <v>45</v>
      </c>
      <c r="O81" s="15" t="s">
        <v>19</v>
      </c>
      <c r="P81" s="36" t="s">
        <v>12</v>
      </c>
      <c r="Q81" s="35" t="s">
        <v>13</v>
      </c>
      <c r="R81" s="85" t="s">
        <v>13</v>
      </c>
      <c r="S81" s="88" t="s">
        <v>40</v>
      </c>
      <c r="T81" s="16" t="s">
        <v>19</v>
      </c>
      <c r="U81" s="137"/>
      <c r="V81" s="155"/>
      <c r="W81" s="157"/>
      <c r="X81" s="159"/>
    </row>
    <row r="82" spans="8:24" x14ac:dyDescent="0.25">
      <c r="H82" s="18" t="s">
        <v>23</v>
      </c>
      <c r="I82" s="32">
        <f>960*4</f>
        <v>3840</v>
      </c>
      <c r="J82" s="57">
        <v>0</v>
      </c>
      <c r="K82" s="33">
        <v>0</v>
      </c>
      <c r="L82" s="34">
        <v>0</v>
      </c>
      <c r="M82" s="38">
        <v>0</v>
      </c>
      <c r="N82" s="39">
        <f>50*4</f>
        <v>200</v>
      </c>
      <c r="O82" s="33">
        <f>63.36*4</f>
        <v>253.44</v>
      </c>
      <c r="P82" s="32">
        <v>0</v>
      </c>
      <c r="Q82" s="34">
        <f>9.6*4</f>
        <v>38.4</v>
      </c>
      <c r="R82" s="86">
        <f>Q82</f>
        <v>38.4</v>
      </c>
      <c r="S82" s="21">
        <v>35.880000000000003</v>
      </c>
      <c r="T82" s="39">
        <f t="shared" ref="T82:T93" si="43">O82</f>
        <v>253.44</v>
      </c>
      <c r="U82" s="94">
        <f>I82+M82-O82</f>
        <v>3586.56</v>
      </c>
      <c r="V82" s="38">
        <f t="shared" ref="V82:V93" si="44">SUM(I82:L82)+N82-SUM(O82:Q82)</f>
        <v>3748.16</v>
      </c>
      <c r="W82" s="71">
        <f>937.04*4</f>
        <v>3748.16</v>
      </c>
      <c r="X82" s="78">
        <f>V82-W82</f>
        <v>0</v>
      </c>
    </row>
    <row r="83" spans="8:24" x14ac:dyDescent="0.25">
      <c r="H83" s="19" t="s">
        <v>24</v>
      </c>
      <c r="I83" s="22">
        <f>960*4</f>
        <v>3840</v>
      </c>
      <c r="J83" s="68">
        <v>0</v>
      </c>
      <c r="K83" s="23">
        <v>0</v>
      </c>
      <c r="L83" s="24">
        <v>0</v>
      </c>
      <c r="M83" s="38">
        <v>0</v>
      </c>
      <c r="N83" s="41">
        <f>50*4</f>
        <v>200</v>
      </c>
      <c r="O83" s="23">
        <f>63.36*4</f>
        <v>253.44</v>
      </c>
      <c r="P83" s="22">
        <v>0</v>
      </c>
      <c r="Q83" s="24">
        <f>9.6*4</f>
        <v>38.4</v>
      </c>
      <c r="R83" s="87">
        <f t="shared" ref="R83:R93" si="45">Q83</f>
        <v>38.4</v>
      </c>
      <c r="S83" s="23">
        <v>35.880000000000003</v>
      </c>
      <c r="T83" s="39">
        <f t="shared" si="43"/>
        <v>253.44</v>
      </c>
      <c r="U83" s="94">
        <f>I83+M83-O83</f>
        <v>3586.56</v>
      </c>
      <c r="V83" s="38">
        <f t="shared" si="44"/>
        <v>3748.16</v>
      </c>
      <c r="W83" s="72">
        <f>937.04*4</f>
        <v>3748.16</v>
      </c>
      <c r="X83" s="56">
        <f t="shared" ref="X83:X93" si="46">V83-W83</f>
        <v>0</v>
      </c>
    </row>
    <row r="84" spans="8:24" x14ac:dyDescent="0.25">
      <c r="H84" s="19" t="s">
        <v>25</v>
      </c>
      <c r="I84" s="22">
        <f>960*5</f>
        <v>4800</v>
      </c>
      <c r="J84" s="68">
        <v>0</v>
      </c>
      <c r="K84" s="23">
        <v>0</v>
      </c>
      <c r="L84" s="24">
        <v>0</v>
      </c>
      <c r="M84" s="38">
        <v>0</v>
      </c>
      <c r="N84" s="41">
        <f>50*5</f>
        <v>250</v>
      </c>
      <c r="O84" s="23">
        <f>63.36*5</f>
        <v>316.8</v>
      </c>
      <c r="P84" s="22">
        <v>0</v>
      </c>
      <c r="Q84" s="24">
        <f>9.6*5</f>
        <v>48</v>
      </c>
      <c r="R84" s="87">
        <f t="shared" si="45"/>
        <v>48</v>
      </c>
      <c r="S84" s="23">
        <v>44.85</v>
      </c>
      <c r="T84" s="39">
        <f t="shared" si="43"/>
        <v>316.8</v>
      </c>
      <c r="U84" s="94">
        <f>I84+M84-O84</f>
        <v>4483.2</v>
      </c>
      <c r="V84" s="38">
        <f t="shared" si="44"/>
        <v>4685.2</v>
      </c>
      <c r="W84" s="72">
        <f>937.04*5</f>
        <v>4685.2</v>
      </c>
      <c r="X84" s="56">
        <f t="shared" si="46"/>
        <v>0</v>
      </c>
    </row>
    <row r="85" spans="8:24" x14ac:dyDescent="0.25">
      <c r="H85" s="19" t="s">
        <v>26</v>
      </c>
      <c r="I85" s="22">
        <f>960*4</f>
        <v>3840</v>
      </c>
      <c r="J85" s="68">
        <v>0</v>
      </c>
      <c r="K85" s="23">
        <v>0</v>
      </c>
      <c r="L85" s="24">
        <v>0</v>
      </c>
      <c r="M85" s="38">
        <v>0</v>
      </c>
      <c r="N85" s="41">
        <f>50*4</f>
        <v>200</v>
      </c>
      <c r="O85" s="23">
        <f>63.36*4</f>
        <v>253.44</v>
      </c>
      <c r="P85" s="22">
        <v>0</v>
      </c>
      <c r="Q85" s="24">
        <f>9.6*4</f>
        <v>38.4</v>
      </c>
      <c r="R85" s="87">
        <f t="shared" si="45"/>
        <v>38.4</v>
      </c>
      <c r="S85" s="23">
        <v>35.880000000000003</v>
      </c>
      <c r="T85" s="39">
        <f t="shared" si="43"/>
        <v>253.44</v>
      </c>
      <c r="U85" s="94">
        <f>I85+M85-O85</f>
        <v>3586.56</v>
      </c>
      <c r="V85" s="38">
        <f t="shared" si="44"/>
        <v>3748.16</v>
      </c>
      <c r="W85" s="72">
        <f>937.04*4</f>
        <v>3748.16</v>
      </c>
      <c r="X85" s="56">
        <f t="shared" si="46"/>
        <v>0</v>
      </c>
    </row>
    <row r="86" spans="8:24" x14ac:dyDescent="0.25">
      <c r="H86" s="19" t="s">
        <v>27</v>
      </c>
      <c r="I86" s="22">
        <f>960*4</f>
        <v>3840</v>
      </c>
      <c r="J86" s="68">
        <v>0</v>
      </c>
      <c r="K86" s="23">
        <v>0</v>
      </c>
      <c r="L86" s="24">
        <v>0</v>
      </c>
      <c r="M86" s="38">
        <v>0</v>
      </c>
      <c r="N86" s="41">
        <f>50*4</f>
        <v>200</v>
      </c>
      <c r="O86" s="23">
        <f>63.36*4</f>
        <v>253.44</v>
      </c>
      <c r="P86" s="22">
        <v>0</v>
      </c>
      <c r="Q86" s="24">
        <f>9.6*4</f>
        <v>38.4</v>
      </c>
      <c r="R86" s="87">
        <f t="shared" si="45"/>
        <v>38.4</v>
      </c>
      <c r="S86" s="23">
        <v>35.880000000000003</v>
      </c>
      <c r="T86" s="39">
        <f t="shared" si="43"/>
        <v>253.44</v>
      </c>
      <c r="U86" s="94">
        <f>I86+M86-O86</f>
        <v>3586.56</v>
      </c>
      <c r="V86" s="38">
        <f t="shared" si="44"/>
        <v>3748.16</v>
      </c>
      <c r="W86" s="72">
        <f>937.04*4</f>
        <v>3748.16</v>
      </c>
      <c r="X86" s="56">
        <f t="shared" si="46"/>
        <v>0</v>
      </c>
    </row>
    <row r="87" spans="8:24" x14ac:dyDescent="0.25">
      <c r="H87" s="19" t="s">
        <v>28</v>
      </c>
      <c r="I87" s="22">
        <f>960*5</f>
        <v>4800</v>
      </c>
      <c r="J87" s="68">
        <f>288+288</f>
        <v>576</v>
      </c>
      <c r="K87" s="23">
        <v>0</v>
      </c>
      <c r="L87" s="24">
        <v>0</v>
      </c>
      <c r="M87" s="38">
        <v>0</v>
      </c>
      <c r="N87" s="41">
        <f>50*5</f>
        <v>250</v>
      </c>
      <c r="O87" s="23">
        <f>63.36*5</f>
        <v>316.8</v>
      </c>
      <c r="P87" s="22">
        <v>0</v>
      </c>
      <c r="Q87" s="24">
        <f>12.48*2+9.6*3</f>
        <v>53.76</v>
      </c>
      <c r="R87" s="87">
        <f t="shared" si="45"/>
        <v>53.76</v>
      </c>
      <c r="S87" s="23">
        <v>50.61</v>
      </c>
      <c r="T87" s="39">
        <f t="shared" si="43"/>
        <v>316.8</v>
      </c>
      <c r="U87" s="94">
        <f>I87+J87+M87-O87</f>
        <v>5059.2</v>
      </c>
      <c r="V87" s="38">
        <f t="shared" si="44"/>
        <v>5255.44</v>
      </c>
      <c r="W87" s="72">
        <f>1222.16*2+937.04*3</f>
        <v>5255.4400000000005</v>
      </c>
      <c r="X87" s="56">
        <f t="shared" si="46"/>
        <v>0</v>
      </c>
    </row>
    <row r="88" spans="8:24" x14ac:dyDescent="0.25">
      <c r="H88" s="19" t="s">
        <v>29</v>
      </c>
      <c r="I88" s="22">
        <f>960*4</f>
        <v>3840</v>
      </c>
      <c r="J88" s="68">
        <f>288+288+288</f>
        <v>864</v>
      </c>
      <c r="K88" s="23">
        <v>0</v>
      </c>
      <c r="L88" s="24">
        <v>0</v>
      </c>
      <c r="M88" s="38">
        <v>0</v>
      </c>
      <c r="N88" s="41">
        <f>50*4</f>
        <v>200</v>
      </c>
      <c r="O88" s="23">
        <f>63.36+63.36+63.36+63.36</f>
        <v>253.44</v>
      </c>
      <c r="P88" s="22">
        <v>0</v>
      </c>
      <c r="Q88" s="24">
        <f>12.48*3+9.6</f>
        <v>47.04</v>
      </c>
      <c r="R88" s="87">
        <f t="shared" si="45"/>
        <v>47.04</v>
      </c>
      <c r="S88" s="23">
        <v>44.52</v>
      </c>
      <c r="T88" s="39">
        <f t="shared" si="43"/>
        <v>253.44</v>
      </c>
      <c r="U88" s="94">
        <f>I88+M88-O88+J88</f>
        <v>4450.5599999999995</v>
      </c>
      <c r="V88" s="38">
        <f t="shared" si="44"/>
        <v>4603.5200000000004</v>
      </c>
      <c r="W88" s="72">
        <f>1222.16*3+937.04</f>
        <v>4603.5200000000004</v>
      </c>
      <c r="X88" s="56">
        <f t="shared" si="46"/>
        <v>0</v>
      </c>
    </row>
    <row r="89" spans="8:24" x14ac:dyDescent="0.25">
      <c r="H89" s="19" t="s">
        <v>30</v>
      </c>
      <c r="I89" s="22">
        <f>960*5</f>
        <v>4800</v>
      </c>
      <c r="J89" s="68">
        <v>0</v>
      </c>
      <c r="K89" s="23">
        <v>0</v>
      </c>
      <c r="L89" s="24">
        <v>0</v>
      </c>
      <c r="M89" s="38">
        <v>0</v>
      </c>
      <c r="N89" s="41">
        <f>50*5</f>
        <v>250</v>
      </c>
      <c r="O89" s="23">
        <f>63.36*5</f>
        <v>316.8</v>
      </c>
      <c r="P89" s="22">
        <v>0</v>
      </c>
      <c r="Q89" s="24">
        <f>9.6*5</f>
        <v>48</v>
      </c>
      <c r="R89" s="87">
        <f t="shared" si="45"/>
        <v>48</v>
      </c>
      <c r="S89" s="23">
        <v>44.85</v>
      </c>
      <c r="T89" s="39">
        <f t="shared" si="43"/>
        <v>316.8</v>
      </c>
      <c r="U89" s="94">
        <f>I89+M89-O89</f>
        <v>4483.2</v>
      </c>
      <c r="V89" s="38">
        <f t="shared" si="44"/>
        <v>4685.2</v>
      </c>
      <c r="W89" s="72">
        <f>937.04*5</f>
        <v>4685.2</v>
      </c>
      <c r="X89" s="56">
        <f t="shared" si="46"/>
        <v>0</v>
      </c>
    </row>
    <row r="90" spans="8:24" x14ac:dyDescent="0.25">
      <c r="H90" s="19" t="s">
        <v>31</v>
      </c>
      <c r="I90" s="22">
        <f>960*4</f>
        <v>3840</v>
      </c>
      <c r="J90" s="68">
        <v>0</v>
      </c>
      <c r="K90" s="23">
        <v>0</v>
      </c>
      <c r="L90" s="24">
        <v>0</v>
      </c>
      <c r="M90" s="38">
        <v>0</v>
      </c>
      <c r="N90" s="41">
        <f>50*4</f>
        <v>200</v>
      </c>
      <c r="O90" s="23">
        <f>63.36*4</f>
        <v>253.44</v>
      </c>
      <c r="P90" s="22">
        <v>0</v>
      </c>
      <c r="Q90" s="24">
        <f>9.6*4</f>
        <v>38.4</v>
      </c>
      <c r="R90" s="87">
        <f t="shared" si="45"/>
        <v>38.4</v>
      </c>
      <c r="S90" s="23">
        <v>35.880000000000003</v>
      </c>
      <c r="T90" s="39">
        <f t="shared" si="43"/>
        <v>253.44</v>
      </c>
      <c r="U90" s="94">
        <f>I90+M90-O90</f>
        <v>3586.56</v>
      </c>
      <c r="V90" s="38">
        <f t="shared" si="44"/>
        <v>3748.16</v>
      </c>
      <c r="W90" s="72">
        <f>937.04*4</f>
        <v>3748.16</v>
      </c>
      <c r="X90" s="56">
        <f t="shared" si="46"/>
        <v>0</v>
      </c>
    </row>
    <row r="91" spans="8:24" x14ac:dyDescent="0.25">
      <c r="H91" s="19" t="s">
        <v>32</v>
      </c>
      <c r="I91" s="22">
        <f>960+960</f>
        <v>1920</v>
      </c>
      <c r="J91" s="68">
        <v>0</v>
      </c>
      <c r="K91" s="23">
        <v>3282.05</v>
      </c>
      <c r="L91" s="24">
        <v>3554.11</v>
      </c>
      <c r="M91" s="38">
        <v>0</v>
      </c>
      <c r="N91" s="41">
        <f>50*2</f>
        <v>100</v>
      </c>
      <c r="O91" s="23">
        <f>253.44+63.36</f>
        <v>316.8</v>
      </c>
      <c r="P91" s="22">
        <v>0</v>
      </c>
      <c r="Q91" s="24">
        <f>77.96+9.6</f>
        <v>87.559999999999988</v>
      </c>
      <c r="R91" s="87">
        <f t="shared" si="45"/>
        <v>87.559999999999988</v>
      </c>
      <c r="S91" s="23">
        <v>84.4</v>
      </c>
      <c r="T91" s="39">
        <f t="shared" si="43"/>
        <v>316.8</v>
      </c>
      <c r="U91" s="94">
        <f>I91+M91+K91+L91-O91</f>
        <v>8439.36</v>
      </c>
      <c r="V91" s="38">
        <f t="shared" si="44"/>
        <v>8451.7999999999993</v>
      </c>
      <c r="W91" s="72">
        <f>7514.76+937.04</f>
        <v>8451.7999999999993</v>
      </c>
      <c r="X91" s="56">
        <f t="shared" si="46"/>
        <v>0</v>
      </c>
    </row>
    <row r="92" spans="8:24" x14ac:dyDescent="0.25">
      <c r="H92" s="19" t="s">
        <v>33</v>
      </c>
      <c r="I92" s="22">
        <f>960*4</f>
        <v>3840</v>
      </c>
      <c r="J92" s="68">
        <v>0</v>
      </c>
      <c r="K92" s="23">
        <v>0</v>
      </c>
      <c r="L92" s="24">
        <v>0</v>
      </c>
      <c r="M92" s="38">
        <v>0</v>
      </c>
      <c r="N92" s="41">
        <f>50*4</f>
        <v>200</v>
      </c>
      <c r="O92" s="23">
        <f>63.36*4</f>
        <v>253.44</v>
      </c>
      <c r="P92" s="22">
        <v>0</v>
      </c>
      <c r="Q92" s="24">
        <f>9.6*4</f>
        <v>38.4</v>
      </c>
      <c r="R92" s="87">
        <f t="shared" si="45"/>
        <v>38.4</v>
      </c>
      <c r="S92" s="23">
        <v>35.880000000000003</v>
      </c>
      <c r="T92" s="39">
        <f t="shared" si="43"/>
        <v>253.44</v>
      </c>
      <c r="U92" s="94">
        <f>I92+M92-O92</f>
        <v>3586.56</v>
      </c>
      <c r="V92" s="38">
        <f t="shared" si="44"/>
        <v>3748.16</v>
      </c>
      <c r="W92" s="72">
        <f>937.04*4</f>
        <v>3748.16</v>
      </c>
      <c r="X92" s="56">
        <f t="shared" si="46"/>
        <v>0</v>
      </c>
    </row>
    <row r="93" spans="8:24" ht="15.75" thickBot="1" x14ac:dyDescent="0.3">
      <c r="H93" s="20" t="s">
        <v>34</v>
      </c>
      <c r="I93" s="26">
        <f>960*4</f>
        <v>3840</v>
      </c>
      <c r="J93" s="69">
        <v>0</v>
      </c>
      <c r="K93" s="27">
        <v>0</v>
      </c>
      <c r="L93" s="28">
        <v>0</v>
      </c>
      <c r="M93" s="38">
        <v>0</v>
      </c>
      <c r="N93" s="43">
        <f>50*4</f>
        <v>200</v>
      </c>
      <c r="O93" s="27">
        <f>63.36*4</f>
        <v>253.44</v>
      </c>
      <c r="P93" s="26">
        <f>0</f>
        <v>0</v>
      </c>
      <c r="Q93" s="28">
        <f>9.6*4</f>
        <v>38.4</v>
      </c>
      <c r="R93" s="80">
        <f t="shared" si="45"/>
        <v>38.4</v>
      </c>
      <c r="S93" s="27">
        <v>35.880000000000003</v>
      </c>
      <c r="T93" s="39">
        <f t="shared" si="43"/>
        <v>253.44</v>
      </c>
      <c r="U93" s="53">
        <f>I93+M93-O93</f>
        <v>3586.56</v>
      </c>
      <c r="V93" s="42">
        <f t="shared" si="44"/>
        <v>3748.16</v>
      </c>
      <c r="W93" s="73">
        <f>937.04*4</f>
        <v>3748.16</v>
      </c>
      <c r="X93" s="56">
        <f t="shared" si="46"/>
        <v>0</v>
      </c>
    </row>
    <row r="94" spans="8:24" ht="15.75" thickBot="1" x14ac:dyDescent="0.3">
      <c r="I94" s="29">
        <f t="shared" ref="I94" si="47">SUM(I82:I93)</f>
        <v>47040</v>
      </c>
      <c r="J94" s="59">
        <f>SUM(J82:J93)</f>
        <v>1440</v>
      </c>
      <c r="K94" s="30">
        <f>SUM(K82:K93)</f>
        <v>3282.05</v>
      </c>
      <c r="L94" s="31">
        <f t="shared" ref="L94:V94" si="48">SUM(L82:L93)</f>
        <v>3554.11</v>
      </c>
      <c r="M94" s="29">
        <f t="shared" si="48"/>
        <v>0</v>
      </c>
      <c r="N94" s="44">
        <f t="shared" si="48"/>
        <v>2450</v>
      </c>
      <c r="O94" s="30">
        <f t="shared" si="48"/>
        <v>3294.7200000000007</v>
      </c>
      <c r="P94" s="37">
        <f t="shared" si="48"/>
        <v>0</v>
      </c>
      <c r="Q94" s="31">
        <f t="shared" si="48"/>
        <v>553.16</v>
      </c>
      <c r="R94" s="81">
        <f t="shared" si="48"/>
        <v>553.16</v>
      </c>
      <c r="S94" s="30">
        <f t="shared" si="48"/>
        <v>520.39</v>
      </c>
      <c r="T94" s="44">
        <f t="shared" si="48"/>
        <v>3294.7200000000007</v>
      </c>
      <c r="U94" s="54">
        <f t="shared" si="48"/>
        <v>52021.439999999988</v>
      </c>
      <c r="V94" s="55">
        <f t="shared" si="48"/>
        <v>53918.280000000013</v>
      </c>
      <c r="W94" s="74">
        <f>SUM(W82:W93)</f>
        <v>53918.280000000013</v>
      </c>
      <c r="X94" s="75"/>
    </row>
    <row r="95" spans="8:24" ht="15.75" thickBot="1" x14ac:dyDescent="0.3">
      <c r="I95" s="150">
        <f>SUM(I94:J94)</f>
        <v>48480</v>
      </c>
      <c r="J95" s="151"/>
      <c r="K95" s="152">
        <f>SUM(K94:L94)</f>
        <v>6836.16</v>
      </c>
      <c r="L95" s="153"/>
      <c r="M95" s="50">
        <v>3810</v>
      </c>
      <c r="P95" s="50">
        <v>4102</v>
      </c>
      <c r="Q95" s="145">
        <f>SUM(Q94:R94)</f>
        <v>1106.32</v>
      </c>
      <c r="R95" s="146"/>
      <c r="U95" s="50">
        <v>3698</v>
      </c>
    </row>
    <row r="96" spans="8:24" x14ac:dyDescent="0.25">
      <c r="I96" s="160">
        <v>3601</v>
      </c>
      <c r="J96" s="160"/>
      <c r="K96" s="161">
        <v>3605</v>
      </c>
      <c r="L96" s="161"/>
      <c r="Q96" s="162">
        <v>4141</v>
      </c>
      <c r="R96" s="162"/>
    </row>
    <row r="98" spans="8:24" ht="16.5" thickBot="1" x14ac:dyDescent="0.3">
      <c r="H98" s="46" t="s">
        <v>55</v>
      </c>
      <c r="I98" s="12"/>
      <c r="J98" s="12"/>
      <c r="K98" s="12"/>
    </row>
    <row r="99" spans="8:24" ht="16.5" thickBot="1" x14ac:dyDescent="0.3">
      <c r="H99" s="12"/>
      <c r="I99" s="142" t="s">
        <v>36</v>
      </c>
      <c r="J99" s="144"/>
      <c r="K99" s="144"/>
      <c r="L99" s="143"/>
      <c r="M99" s="142" t="s">
        <v>37</v>
      </c>
      <c r="N99" s="143"/>
      <c r="O99" s="142" t="s">
        <v>38</v>
      </c>
      <c r="P99" s="144"/>
      <c r="Q99" s="143"/>
      <c r="R99" s="142" t="s">
        <v>41</v>
      </c>
      <c r="S99" s="144"/>
      <c r="T99" s="143"/>
      <c r="U99" s="136" t="s">
        <v>39</v>
      </c>
      <c r="V99" s="154" t="s">
        <v>42</v>
      </c>
      <c r="W99" s="156" t="s">
        <v>43</v>
      </c>
      <c r="X99" s="158" t="s">
        <v>44</v>
      </c>
    </row>
    <row r="100" spans="8:24" ht="15.75" thickBot="1" x14ac:dyDescent="0.3">
      <c r="H100" s="45" t="s">
        <v>22</v>
      </c>
      <c r="I100" s="14" t="s">
        <v>18</v>
      </c>
      <c r="J100" s="76" t="s">
        <v>49</v>
      </c>
      <c r="K100" s="15" t="s">
        <v>48</v>
      </c>
      <c r="L100" s="35" t="s">
        <v>35</v>
      </c>
      <c r="M100" s="14" t="s">
        <v>20</v>
      </c>
      <c r="N100" s="16" t="s">
        <v>45</v>
      </c>
      <c r="O100" s="15" t="s">
        <v>19</v>
      </c>
      <c r="P100" s="36" t="s">
        <v>12</v>
      </c>
      <c r="Q100" s="35" t="s">
        <v>13</v>
      </c>
      <c r="R100" s="85" t="s">
        <v>13</v>
      </c>
      <c r="S100" s="88" t="s">
        <v>40</v>
      </c>
      <c r="T100" s="16" t="s">
        <v>19</v>
      </c>
      <c r="U100" s="137"/>
      <c r="V100" s="155"/>
      <c r="W100" s="157"/>
      <c r="X100" s="159"/>
    </row>
    <row r="101" spans="8:24" x14ac:dyDescent="0.25">
      <c r="H101" s="18" t="s">
        <v>23</v>
      </c>
      <c r="I101" s="32">
        <f>891.6*4</f>
        <v>3566.4</v>
      </c>
      <c r="J101" s="57">
        <v>0</v>
      </c>
      <c r="K101" s="23">
        <v>0</v>
      </c>
      <c r="L101" s="24">
        <v>0</v>
      </c>
      <c r="M101" s="38">
        <v>0</v>
      </c>
      <c r="N101" s="39">
        <f>50*4</f>
        <v>200</v>
      </c>
      <c r="O101" s="33">
        <f>58.85*4</f>
        <v>235.4</v>
      </c>
      <c r="P101" s="32">
        <v>0</v>
      </c>
      <c r="Q101" s="34">
        <f>8.92*4</f>
        <v>35.68</v>
      </c>
      <c r="R101" s="86">
        <f>Q101</f>
        <v>35.68</v>
      </c>
      <c r="S101" s="21">
        <v>33.32</v>
      </c>
      <c r="T101" s="39">
        <f t="shared" ref="T101:T112" si="49">O101</f>
        <v>235.4</v>
      </c>
      <c r="U101" s="94">
        <f>I101+M101-O101</f>
        <v>3331</v>
      </c>
      <c r="V101" s="38">
        <f t="shared" ref="V101:V112" si="50">SUM(I101:L101)+N101-SUM(O101:Q101)</f>
        <v>3495.32</v>
      </c>
      <c r="W101" s="71">
        <f>773.83*3+873.83</f>
        <v>3195.32</v>
      </c>
      <c r="X101" s="78">
        <f>V101-W101</f>
        <v>300</v>
      </c>
    </row>
    <row r="102" spans="8:24" x14ac:dyDescent="0.25">
      <c r="H102" s="19" t="s">
        <v>24</v>
      </c>
      <c r="I102" s="22">
        <f>891.6*4</f>
        <v>3566.4</v>
      </c>
      <c r="J102" s="68">
        <v>0</v>
      </c>
      <c r="K102" s="23">
        <v>0</v>
      </c>
      <c r="L102" s="24">
        <v>0</v>
      </c>
      <c r="M102" s="38">
        <v>0</v>
      </c>
      <c r="N102" s="41">
        <f>50*4</f>
        <v>200</v>
      </c>
      <c r="O102" s="23">
        <f>58.85*4</f>
        <v>235.4</v>
      </c>
      <c r="P102" s="22">
        <v>0</v>
      </c>
      <c r="Q102" s="24">
        <f>8.92*4</f>
        <v>35.68</v>
      </c>
      <c r="R102" s="87">
        <f t="shared" ref="R102:R112" si="51">Q102</f>
        <v>35.68</v>
      </c>
      <c r="S102" s="23">
        <v>33.32</v>
      </c>
      <c r="T102" s="39">
        <f t="shared" si="49"/>
        <v>235.4</v>
      </c>
      <c r="U102" s="94">
        <f>I102+M102-O102</f>
        <v>3331</v>
      </c>
      <c r="V102" s="38">
        <f t="shared" si="50"/>
        <v>3495.32</v>
      </c>
      <c r="W102" s="72">
        <f>773.83*4</f>
        <v>3095.32</v>
      </c>
      <c r="X102" s="56">
        <f t="shared" ref="X102:X112" si="52">V102-W102</f>
        <v>400</v>
      </c>
    </row>
    <row r="103" spans="8:24" x14ac:dyDescent="0.25">
      <c r="H103" s="19" t="s">
        <v>25</v>
      </c>
      <c r="I103" s="22">
        <f>891.6*5</f>
        <v>4458</v>
      </c>
      <c r="J103" s="68">
        <v>0</v>
      </c>
      <c r="K103" s="23">
        <v>0</v>
      </c>
      <c r="L103" s="24">
        <v>0</v>
      </c>
      <c r="M103" s="38">
        <v>0</v>
      </c>
      <c r="N103" s="41">
        <f>50*5</f>
        <v>250</v>
      </c>
      <c r="O103" s="23">
        <f>58.85*5</f>
        <v>294.25</v>
      </c>
      <c r="P103" s="22">
        <v>0</v>
      </c>
      <c r="Q103" s="24">
        <f>8.92*5</f>
        <v>44.6</v>
      </c>
      <c r="R103" s="87">
        <f t="shared" si="51"/>
        <v>44.6</v>
      </c>
      <c r="S103" s="23">
        <v>41.65</v>
      </c>
      <c r="T103" s="39">
        <f t="shared" si="49"/>
        <v>294.25</v>
      </c>
      <c r="U103" s="94">
        <f>I103+M103-O103</f>
        <v>4163.75</v>
      </c>
      <c r="V103" s="38">
        <f t="shared" si="50"/>
        <v>4369.1499999999996</v>
      </c>
      <c r="W103" s="72">
        <f>873.83*5</f>
        <v>4369.1500000000005</v>
      </c>
      <c r="X103" s="56">
        <f t="shared" si="52"/>
        <v>0</v>
      </c>
    </row>
    <row r="104" spans="8:24" x14ac:dyDescent="0.25">
      <c r="H104" s="19" t="s">
        <v>26</v>
      </c>
      <c r="I104" s="22">
        <f>891.6*4</f>
        <v>3566.4</v>
      </c>
      <c r="J104" s="68">
        <v>0</v>
      </c>
      <c r="K104" s="23">
        <v>0</v>
      </c>
      <c r="L104" s="24">
        <v>0</v>
      </c>
      <c r="M104" s="38">
        <v>0</v>
      </c>
      <c r="N104" s="41">
        <f>50*4</f>
        <v>200</v>
      </c>
      <c r="O104" s="23">
        <f>58.85*4</f>
        <v>235.4</v>
      </c>
      <c r="P104" s="22">
        <v>0</v>
      </c>
      <c r="Q104" s="24">
        <f>8.92*4</f>
        <v>35.68</v>
      </c>
      <c r="R104" s="87">
        <f t="shared" si="51"/>
        <v>35.68</v>
      </c>
      <c r="S104" s="23">
        <v>33.32</v>
      </c>
      <c r="T104" s="39">
        <f t="shared" si="49"/>
        <v>235.4</v>
      </c>
      <c r="U104" s="94">
        <f>I104+M104-O104</f>
        <v>3331</v>
      </c>
      <c r="V104" s="38">
        <f t="shared" si="50"/>
        <v>3495.32</v>
      </c>
      <c r="W104" s="72">
        <f>873.83*4</f>
        <v>3495.32</v>
      </c>
      <c r="X104" s="56">
        <f t="shared" si="52"/>
        <v>0</v>
      </c>
    </row>
    <row r="105" spans="8:24" x14ac:dyDescent="0.25">
      <c r="H105" s="19" t="s">
        <v>27</v>
      </c>
      <c r="I105" s="22">
        <f>891.6*4</f>
        <v>3566.4</v>
      </c>
      <c r="J105" s="68">
        <v>0</v>
      </c>
      <c r="K105" s="23">
        <v>0</v>
      </c>
      <c r="L105" s="24">
        <v>0</v>
      </c>
      <c r="M105" s="38">
        <v>0</v>
      </c>
      <c r="N105" s="41">
        <f>50*4</f>
        <v>200</v>
      </c>
      <c r="O105" s="23">
        <f>58.85*4</f>
        <v>235.4</v>
      </c>
      <c r="P105" s="22">
        <v>0</v>
      </c>
      <c r="Q105" s="24">
        <f>8.92*4</f>
        <v>35.68</v>
      </c>
      <c r="R105" s="87">
        <f t="shared" si="51"/>
        <v>35.68</v>
      </c>
      <c r="S105" s="23">
        <v>33.32</v>
      </c>
      <c r="T105" s="39">
        <f t="shared" si="49"/>
        <v>235.4</v>
      </c>
      <c r="U105" s="94">
        <f>I105+M105-O105</f>
        <v>3331</v>
      </c>
      <c r="V105" s="38">
        <f t="shared" si="50"/>
        <v>3495.32</v>
      </c>
      <c r="W105" s="72">
        <f>873.83*4</f>
        <v>3495.32</v>
      </c>
      <c r="X105" s="56">
        <f t="shared" si="52"/>
        <v>0</v>
      </c>
    </row>
    <row r="106" spans="8:24" x14ac:dyDescent="0.25">
      <c r="H106" s="19" t="s">
        <v>28</v>
      </c>
      <c r="I106" s="22">
        <f>891.6*5</f>
        <v>4458</v>
      </c>
      <c r="J106" s="68">
        <f>267.48*2</f>
        <v>534.96</v>
      </c>
      <c r="K106" s="23">
        <v>0</v>
      </c>
      <c r="L106" s="24">
        <v>0</v>
      </c>
      <c r="M106" s="38">
        <v>0</v>
      </c>
      <c r="N106" s="41">
        <f>50*5</f>
        <v>250</v>
      </c>
      <c r="O106" s="23">
        <f>58.85*5</f>
        <v>294.25</v>
      </c>
      <c r="P106" s="22">
        <v>0</v>
      </c>
      <c r="Q106" s="24">
        <f>11.59*2+8.92*3</f>
        <v>49.94</v>
      </c>
      <c r="R106" s="87">
        <f t="shared" si="51"/>
        <v>49.94</v>
      </c>
      <c r="S106" s="23">
        <v>46.99</v>
      </c>
      <c r="T106" s="39">
        <f t="shared" si="49"/>
        <v>294.25</v>
      </c>
      <c r="U106" s="94">
        <f>I106+J106+M106-O106</f>
        <v>4698.71</v>
      </c>
      <c r="V106" s="38">
        <f t="shared" si="50"/>
        <v>4898.7700000000004</v>
      </c>
      <c r="W106" s="72">
        <f>1138.64*2+873.83*3</f>
        <v>4898.7700000000004</v>
      </c>
      <c r="X106" s="56">
        <f t="shared" si="52"/>
        <v>0</v>
      </c>
    </row>
    <row r="107" spans="8:24" x14ac:dyDescent="0.25">
      <c r="H107" s="19" t="s">
        <v>29</v>
      </c>
      <c r="I107" s="22">
        <f>891.6*4</f>
        <v>3566.4</v>
      </c>
      <c r="J107" s="68">
        <f>267.48+267.48+267.48</f>
        <v>802.44</v>
      </c>
      <c r="K107" s="23">
        <v>0</v>
      </c>
      <c r="L107" s="24">
        <v>0</v>
      </c>
      <c r="M107" s="38">
        <v>0</v>
      </c>
      <c r="N107" s="41">
        <f>50*4</f>
        <v>200</v>
      </c>
      <c r="O107" s="23">
        <f>58.85*4</f>
        <v>235.4</v>
      </c>
      <c r="P107" s="22">
        <v>0</v>
      </c>
      <c r="Q107" s="24">
        <f>11.59*3+8.92</f>
        <v>43.69</v>
      </c>
      <c r="R107" s="87">
        <f t="shared" si="51"/>
        <v>43.69</v>
      </c>
      <c r="S107" s="23">
        <v>41.33</v>
      </c>
      <c r="T107" s="39">
        <f t="shared" si="49"/>
        <v>235.4</v>
      </c>
      <c r="U107" s="94">
        <f>I107+M107-O107+J107</f>
        <v>4133.4400000000005</v>
      </c>
      <c r="V107" s="38">
        <f t="shared" si="50"/>
        <v>4289.75</v>
      </c>
      <c r="W107" s="72">
        <f>1138.64*3+873.83</f>
        <v>4289.75</v>
      </c>
      <c r="X107" s="56">
        <f t="shared" si="52"/>
        <v>0</v>
      </c>
    </row>
    <row r="108" spans="8:24" x14ac:dyDescent="0.25">
      <c r="H108" s="19" t="s">
        <v>30</v>
      </c>
      <c r="I108" s="22">
        <f>891.6*5</f>
        <v>4458</v>
      </c>
      <c r="J108" s="68">
        <v>0</v>
      </c>
      <c r="K108" s="23">
        <v>0</v>
      </c>
      <c r="L108" s="24">
        <v>0</v>
      </c>
      <c r="M108" s="38">
        <v>0</v>
      </c>
      <c r="N108" s="41">
        <f>50*5</f>
        <v>250</v>
      </c>
      <c r="O108" s="23">
        <f>58.85*5</f>
        <v>294.25</v>
      </c>
      <c r="P108" s="22">
        <v>0</v>
      </c>
      <c r="Q108" s="24">
        <f>8.92*5</f>
        <v>44.6</v>
      </c>
      <c r="R108" s="87">
        <f t="shared" si="51"/>
        <v>44.6</v>
      </c>
      <c r="S108" s="23">
        <v>41.65</v>
      </c>
      <c r="T108" s="39">
        <f t="shared" si="49"/>
        <v>294.25</v>
      </c>
      <c r="U108" s="94">
        <f>I108+M108-O108</f>
        <v>4163.75</v>
      </c>
      <c r="V108" s="38">
        <f t="shared" si="50"/>
        <v>4369.1499999999996</v>
      </c>
      <c r="W108" s="72">
        <f>873.83*5</f>
        <v>4369.1500000000005</v>
      </c>
      <c r="X108" s="56">
        <f t="shared" si="52"/>
        <v>0</v>
      </c>
    </row>
    <row r="109" spans="8:24" x14ac:dyDescent="0.25">
      <c r="H109" s="19" t="s">
        <v>31</v>
      </c>
      <c r="I109" s="22">
        <f>891.6*4</f>
        <v>3566.4</v>
      </c>
      <c r="J109" s="68">
        <v>0</v>
      </c>
      <c r="K109" s="23">
        <v>0</v>
      </c>
      <c r="L109" s="24">
        <v>0</v>
      </c>
      <c r="M109" s="38">
        <v>0</v>
      </c>
      <c r="N109" s="41">
        <f>50*4</f>
        <v>200</v>
      </c>
      <c r="O109" s="23">
        <f>58.85*4</f>
        <v>235.4</v>
      </c>
      <c r="P109" s="22">
        <v>0</v>
      </c>
      <c r="Q109" s="24">
        <f>8.92*4</f>
        <v>35.68</v>
      </c>
      <c r="R109" s="87">
        <f t="shared" si="51"/>
        <v>35.68</v>
      </c>
      <c r="S109" s="23">
        <v>33.32</v>
      </c>
      <c r="T109" s="39">
        <f t="shared" si="49"/>
        <v>235.4</v>
      </c>
      <c r="U109" s="94">
        <f>I109+M109-O109</f>
        <v>3331</v>
      </c>
      <c r="V109" s="38">
        <f t="shared" si="50"/>
        <v>3495.32</v>
      </c>
      <c r="W109" s="72">
        <f>873.83*4</f>
        <v>3495.32</v>
      </c>
      <c r="X109" s="56">
        <f t="shared" si="52"/>
        <v>0</v>
      </c>
    </row>
    <row r="110" spans="8:24" x14ac:dyDescent="0.25">
      <c r="H110" s="19" t="s">
        <v>32</v>
      </c>
      <c r="I110" s="22">
        <f>891.6*2</f>
        <v>1783.2</v>
      </c>
      <c r="J110" s="68">
        <v>0</v>
      </c>
      <c r="K110" s="23">
        <v>3048.21</v>
      </c>
      <c r="L110" s="24">
        <v>3300.88</v>
      </c>
      <c r="M110" s="38">
        <v>0</v>
      </c>
      <c r="N110" s="41">
        <f>50*2</f>
        <v>100</v>
      </c>
      <c r="O110" s="23">
        <f>235.4+58.85</f>
        <v>294.25</v>
      </c>
      <c r="P110" s="22">
        <v>0</v>
      </c>
      <c r="Q110" s="24">
        <f>72.41+8.92</f>
        <v>81.33</v>
      </c>
      <c r="R110" s="87">
        <f t="shared" si="51"/>
        <v>81.33</v>
      </c>
      <c r="S110" s="23">
        <v>78.38</v>
      </c>
      <c r="T110" s="39">
        <f t="shared" si="49"/>
        <v>294.25</v>
      </c>
      <c r="U110" s="94">
        <f>I110+M110+K110+L110-O110</f>
        <v>7838.04</v>
      </c>
      <c r="V110" s="38">
        <f t="shared" si="50"/>
        <v>7856.7100000000009</v>
      </c>
      <c r="W110" s="72">
        <f>6982.88+873.83</f>
        <v>7856.71</v>
      </c>
      <c r="X110" s="56">
        <f t="shared" si="52"/>
        <v>0</v>
      </c>
    </row>
    <row r="111" spans="8:24" x14ac:dyDescent="0.25">
      <c r="H111" s="19" t="s">
        <v>33</v>
      </c>
      <c r="I111" s="22">
        <f>891.6*4</f>
        <v>3566.4</v>
      </c>
      <c r="J111" s="68">
        <v>0</v>
      </c>
      <c r="K111" s="23">
        <v>0</v>
      </c>
      <c r="L111" s="24">
        <v>0</v>
      </c>
      <c r="M111" s="38">
        <v>0</v>
      </c>
      <c r="N111" s="41">
        <f>50*4</f>
        <v>200</v>
      </c>
      <c r="O111" s="23">
        <f>58.85*4</f>
        <v>235.4</v>
      </c>
      <c r="P111" s="22">
        <v>0</v>
      </c>
      <c r="Q111" s="24">
        <f>8.92*4</f>
        <v>35.68</v>
      </c>
      <c r="R111" s="87">
        <f t="shared" si="51"/>
        <v>35.68</v>
      </c>
      <c r="S111" s="23">
        <v>33.32</v>
      </c>
      <c r="T111" s="39">
        <f t="shared" si="49"/>
        <v>235.4</v>
      </c>
      <c r="U111" s="94">
        <f>I111+M111-O111</f>
        <v>3331</v>
      </c>
      <c r="V111" s="38">
        <f t="shared" si="50"/>
        <v>3495.32</v>
      </c>
      <c r="W111" s="72">
        <f>873.83*4</f>
        <v>3495.32</v>
      </c>
      <c r="X111" s="56">
        <f t="shared" si="52"/>
        <v>0</v>
      </c>
    </row>
    <row r="112" spans="8:24" ht="15.75" thickBot="1" x14ac:dyDescent="0.3">
      <c r="H112" s="20" t="s">
        <v>34</v>
      </c>
      <c r="I112" s="26">
        <f>891.6*4</f>
        <v>3566.4</v>
      </c>
      <c r="J112" s="69">
        <v>0</v>
      </c>
      <c r="K112" s="27">
        <v>0</v>
      </c>
      <c r="L112" s="28">
        <v>0</v>
      </c>
      <c r="M112" s="38">
        <v>0</v>
      </c>
      <c r="N112" s="43">
        <f>50*4</f>
        <v>200</v>
      </c>
      <c r="O112" s="27">
        <f>58.85*4</f>
        <v>235.4</v>
      </c>
      <c r="P112" s="26">
        <v>0</v>
      </c>
      <c r="Q112" s="28">
        <f>8.92*4</f>
        <v>35.68</v>
      </c>
      <c r="R112" s="80">
        <f t="shared" si="51"/>
        <v>35.68</v>
      </c>
      <c r="S112" s="27">
        <v>33.32</v>
      </c>
      <c r="T112" s="39">
        <f t="shared" si="49"/>
        <v>235.4</v>
      </c>
      <c r="U112" s="53">
        <f>I112+M112-O112</f>
        <v>3331</v>
      </c>
      <c r="V112" s="42">
        <f t="shared" si="50"/>
        <v>3495.32</v>
      </c>
      <c r="W112" s="73">
        <f>873.83*4</f>
        <v>3495.32</v>
      </c>
      <c r="X112" s="56">
        <f t="shared" si="52"/>
        <v>0</v>
      </c>
    </row>
    <row r="113" spans="8:24" ht="15.75" thickBot="1" x14ac:dyDescent="0.3">
      <c r="I113" s="29">
        <f t="shared" ref="I113" si="53">SUM(I101:I112)</f>
        <v>43688.4</v>
      </c>
      <c r="J113" s="59">
        <f>SUM(J101:J112)</f>
        <v>1337.4</v>
      </c>
      <c r="K113" s="30">
        <f>SUM(K101:K112)</f>
        <v>3048.21</v>
      </c>
      <c r="L113" s="31">
        <f t="shared" ref="L113:V113" si="54">SUM(L101:L112)</f>
        <v>3300.88</v>
      </c>
      <c r="M113" s="29">
        <f t="shared" si="54"/>
        <v>0</v>
      </c>
      <c r="N113" s="44">
        <f t="shared" si="54"/>
        <v>2450</v>
      </c>
      <c r="O113" s="30">
        <f t="shared" si="54"/>
        <v>3060.2000000000003</v>
      </c>
      <c r="P113" s="37">
        <f t="shared" si="54"/>
        <v>0</v>
      </c>
      <c r="Q113" s="31">
        <f t="shared" si="54"/>
        <v>513.92000000000007</v>
      </c>
      <c r="R113" s="81">
        <f t="shared" si="54"/>
        <v>513.92000000000007</v>
      </c>
      <c r="S113" s="30">
        <f t="shared" si="54"/>
        <v>483.23999999999995</v>
      </c>
      <c r="T113" s="44">
        <f t="shared" si="54"/>
        <v>3060.2000000000003</v>
      </c>
      <c r="U113" s="54">
        <f t="shared" si="54"/>
        <v>48314.69</v>
      </c>
      <c r="V113" s="55">
        <f t="shared" si="54"/>
        <v>50250.77</v>
      </c>
      <c r="W113" s="74">
        <f>SUM(W101:W112)</f>
        <v>49550.770000000004</v>
      </c>
      <c r="X113" s="75"/>
    </row>
    <row r="114" spans="8:24" ht="15.75" thickBot="1" x14ac:dyDescent="0.3">
      <c r="I114" s="150">
        <f>SUM(I113:J113)</f>
        <v>45025.8</v>
      </c>
      <c r="J114" s="151"/>
      <c r="K114" s="152">
        <f>SUM(K113:L113)</f>
        <v>6349.09</v>
      </c>
      <c r="L114" s="153"/>
      <c r="M114" s="50">
        <v>3810</v>
      </c>
      <c r="P114" s="50">
        <v>4102</v>
      </c>
      <c r="Q114" s="163">
        <f>SUM(Q113:R113)</f>
        <v>1027.8400000000001</v>
      </c>
      <c r="R114" s="164"/>
      <c r="U114" s="50">
        <v>3698</v>
      </c>
    </row>
    <row r="115" spans="8:24" x14ac:dyDescent="0.25">
      <c r="I115" s="160">
        <v>3601</v>
      </c>
      <c r="J115" s="160"/>
      <c r="K115" s="161">
        <v>3605</v>
      </c>
      <c r="L115" s="161"/>
      <c r="Q115" s="162">
        <v>4141</v>
      </c>
      <c r="R115" s="162"/>
    </row>
    <row r="117" spans="8:24" ht="16.5" thickBot="1" x14ac:dyDescent="0.3">
      <c r="H117" s="46" t="s">
        <v>57</v>
      </c>
      <c r="I117" s="12"/>
      <c r="J117" s="12"/>
      <c r="K117" s="12"/>
    </row>
    <row r="118" spans="8:24" ht="16.5" thickBot="1" x14ac:dyDescent="0.3">
      <c r="H118" s="12"/>
      <c r="I118" s="142" t="s">
        <v>36</v>
      </c>
      <c r="J118" s="144"/>
      <c r="K118" s="144"/>
      <c r="L118" s="143"/>
      <c r="M118" s="142" t="s">
        <v>37</v>
      </c>
      <c r="N118" s="143"/>
      <c r="O118" s="142" t="s">
        <v>38</v>
      </c>
      <c r="P118" s="144"/>
      <c r="Q118" s="143"/>
      <c r="R118" s="142" t="s">
        <v>41</v>
      </c>
      <c r="S118" s="144"/>
      <c r="T118" s="143"/>
      <c r="U118" s="136" t="s">
        <v>39</v>
      </c>
      <c r="V118" s="154" t="s">
        <v>42</v>
      </c>
      <c r="W118" s="156" t="s">
        <v>43</v>
      </c>
      <c r="X118" s="158" t="s">
        <v>44</v>
      </c>
    </row>
    <row r="119" spans="8:24" ht="15.75" thickBot="1" x14ac:dyDescent="0.3">
      <c r="H119" s="45" t="s">
        <v>22</v>
      </c>
      <c r="I119" s="14" t="s">
        <v>18</v>
      </c>
      <c r="J119" s="76" t="s">
        <v>49</v>
      </c>
      <c r="K119" s="15" t="s">
        <v>48</v>
      </c>
      <c r="L119" s="35" t="s">
        <v>35</v>
      </c>
      <c r="M119" s="14" t="s">
        <v>20</v>
      </c>
      <c r="N119" s="16" t="s">
        <v>45</v>
      </c>
      <c r="O119" s="15" t="s">
        <v>19</v>
      </c>
      <c r="P119" s="36" t="s">
        <v>12</v>
      </c>
      <c r="Q119" s="35" t="s">
        <v>13</v>
      </c>
      <c r="R119" s="90" t="s">
        <v>13</v>
      </c>
      <c r="S119" s="88" t="s">
        <v>40</v>
      </c>
      <c r="T119" s="16" t="s">
        <v>19</v>
      </c>
      <c r="U119" s="137"/>
      <c r="V119" s="155"/>
      <c r="W119" s="157"/>
      <c r="X119" s="159"/>
    </row>
    <row r="120" spans="8:24" x14ac:dyDescent="0.25">
      <c r="H120" s="18" t="s">
        <v>23</v>
      </c>
      <c r="I120" s="32">
        <f>700*4</f>
        <v>2800</v>
      </c>
      <c r="J120" s="57">
        <v>0</v>
      </c>
      <c r="K120" s="23">
        <v>0</v>
      </c>
      <c r="L120" s="24">
        <v>0</v>
      </c>
      <c r="M120" s="38">
        <v>0</v>
      </c>
      <c r="N120" s="39">
        <v>0</v>
      </c>
      <c r="O120" s="33">
        <v>0</v>
      </c>
      <c r="P120" s="32">
        <v>0</v>
      </c>
      <c r="Q120" s="34">
        <f>7*4</f>
        <v>28</v>
      </c>
      <c r="R120" s="86">
        <f>Q120</f>
        <v>28</v>
      </c>
      <c r="S120" s="33">
        <f>R120</f>
        <v>28</v>
      </c>
      <c r="T120" s="39">
        <f t="shared" ref="T120:T131" si="55">O120</f>
        <v>0</v>
      </c>
      <c r="U120" s="94">
        <f t="shared" ref="U120:U128" si="56">I120+J120+M120-O120</f>
        <v>2800</v>
      </c>
      <c r="V120" s="38">
        <f t="shared" ref="V120:V131" si="57">SUM(I120:L120)+N120-SUM(O120:Q120)</f>
        <v>2772</v>
      </c>
      <c r="W120" s="71">
        <f>593*2+693*2</f>
        <v>2572</v>
      </c>
      <c r="X120" s="78">
        <f>V120-W120</f>
        <v>200</v>
      </c>
    </row>
    <row r="121" spans="8:24" x14ac:dyDescent="0.25">
      <c r="H121" s="19" t="s">
        <v>24</v>
      </c>
      <c r="I121" s="22">
        <f>800*2+700*2</f>
        <v>3000</v>
      </c>
      <c r="J121" s="68">
        <v>0</v>
      </c>
      <c r="K121" s="23">
        <v>0</v>
      </c>
      <c r="L121" s="24">
        <v>0</v>
      </c>
      <c r="M121" s="38">
        <v>0</v>
      </c>
      <c r="N121" s="41">
        <v>0</v>
      </c>
      <c r="O121" s="23">
        <v>0</v>
      </c>
      <c r="P121" s="22">
        <v>0</v>
      </c>
      <c r="Q121" s="24">
        <f>8*2+7*2</f>
        <v>30</v>
      </c>
      <c r="R121" s="87">
        <f t="shared" ref="R121:R131" si="58">Q121</f>
        <v>30</v>
      </c>
      <c r="S121" s="23">
        <f t="shared" ref="S121:S131" si="59">R121</f>
        <v>30</v>
      </c>
      <c r="T121" s="39">
        <f t="shared" si="55"/>
        <v>0</v>
      </c>
      <c r="U121" s="94">
        <f t="shared" si="56"/>
        <v>3000</v>
      </c>
      <c r="V121" s="38">
        <f t="shared" si="57"/>
        <v>2970</v>
      </c>
      <c r="W121" s="72">
        <f>792+692+593+593</f>
        <v>2670</v>
      </c>
      <c r="X121" s="56">
        <f t="shared" ref="X121:X131" si="60">V121-W121</f>
        <v>300</v>
      </c>
    </row>
    <row r="122" spans="8:24" x14ac:dyDescent="0.25">
      <c r="H122" s="19" t="s">
        <v>25</v>
      </c>
      <c r="I122" s="22">
        <f>800*5</f>
        <v>4000</v>
      </c>
      <c r="J122" s="68">
        <v>0</v>
      </c>
      <c r="K122" s="23">
        <v>0</v>
      </c>
      <c r="L122" s="24">
        <v>0</v>
      </c>
      <c r="M122" s="38">
        <v>0</v>
      </c>
      <c r="N122" s="41">
        <v>0</v>
      </c>
      <c r="O122" s="23">
        <v>0</v>
      </c>
      <c r="P122" s="22">
        <v>0</v>
      </c>
      <c r="Q122" s="24">
        <f>8*5</f>
        <v>40</v>
      </c>
      <c r="R122" s="87">
        <f t="shared" si="58"/>
        <v>40</v>
      </c>
      <c r="S122" s="23">
        <f t="shared" si="59"/>
        <v>40</v>
      </c>
      <c r="T122" s="39">
        <f t="shared" si="55"/>
        <v>0</v>
      </c>
      <c r="U122" s="94">
        <f t="shared" si="56"/>
        <v>4000</v>
      </c>
      <c r="V122" s="38">
        <f t="shared" si="57"/>
        <v>3960</v>
      </c>
      <c r="W122" s="72">
        <f>792*5</f>
        <v>3960</v>
      </c>
      <c r="X122" s="56">
        <f t="shared" si="60"/>
        <v>0</v>
      </c>
    </row>
    <row r="123" spans="8:24" x14ac:dyDescent="0.25">
      <c r="H123" s="19" t="s">
        <v>26</v>
      </c>
      <c r="I123" s="22">
        <f>800*4</f>
        <v>3200</v>
      </c>
      <c r="J123" s="68">
        <f>240+240</f>
        <v>480</v>
      </c>
      <c r="K123" s="23">
        <v>0</v>
      </c>
      <c r="L123" s="24">
        <v>0</v>
      </c>
      <c r="M123" s="38">
        <v>0</v>
      </c>
      <c r="N123" s="41">
        <v>0</v>
      </c>
      <c r="O123" s="23">
        <v>0</v>
      </c>
      <c r="P123" s="22">
        <v>0</v>
      </c>
      <c r="Q123" s="24">
        <f>10.4*2+8*2</f>
        <v>36.799999999999997</v>
      </c>
      <c r="R123" s="87">
        <f t="shared" si="58"/>
        <v>36.799999999999997</v>
      </c>
      <c r="S123" s="23">
        <f t="shared" si="59"/>
        <v>36.799999999999997</v>
      </c>
      <c r="T123" s="39">
        <f t="shared" si="55"/>
        <v>0</v>
      </c>
      <c r="U123" s="94">
        <f t="shared" si="56"/>
        <v>3680</v>
      </c>
      <c r="V123" s="38">
        <f t="shared" si="57"/>
        <v>3643.2</v>
      </c>
      <c r="W123" s="72">
        <f>1029.6*2+792*2</f>
        <v>3643.2</v>
      </c>
      <c r="X123" s="56">
        <f t="shared" si="60"/>
        <v>0</v>
      </c>
    </row>
    <row r="124" spans="8:24" x14ac:dyDescent="0.25">
      <c r="H124" s="19" t="s">
        <v>27</v>
      </c>
      <c r="I124" s="22">
        <f>800*4</f>
        <v>3200</v>
      </c>
      <c r="J124" s="68">
        <f>240</f>
        <v>240</v>
      </c>
      <c r="K124" s="23">
        <v>0</v>
      </c>
      <c r="L124" s="24">
        <v>0</v>
      </c>
      <c r="M124" s="38">
        <v>0</v>
      </c>
      <c r="N124" s="41">
        <v>0</v>
      </c>
      <c r="O124" s="23">
        <v>0</v>
      </c>
      <c r="P124" s="22">
        <v>0</v>
      </c>
      <c r="Q124" s="24">
        <f>10.4+8*3</f>
        <v>34.4</v>
      </c>
      <c r="R124" s="87">
        <f t="shared" si="58"/>
        <v>34.4</v>
      </c>
      <c r="S124" s="23">
        <f t="shared" si="59"/>
        <v>34.4</v>
      </c>
      <c r="T124" s="39">
        <f t="shared" si="55"/>
        <v>0</v>
      </c>
      <c r="U124" s="94">
        <f t="shared" si="56"/>
        <v>3440</v>
      </c>
      <c r="V124" s="38">
        <f t="shared" si="57"/>
        <v>3405.6</v>
      </c>
      <c r="W124" s="72">
        <f>1029.6+792*3</f>
        <v>3405.6</v>
      </c>
      <c r="X124" s="56">
        <f t="shared" si="60"/>
        <v>0</v>
      </c>
    </row>
    <row r="125" spans="8:24" x14ac:dyDescent="0.25">
      <c r="H125" s="19" t="s">
        <v>28</v>
      </c>
      <c r="I125" s="22">
        <f>800*5</f>
        <v>4000</v>
      </c>
      <c r="J125" s="68">
        <f>240+195+240</f>
        <v>675</v>
      </c>
      <c r="K125" s="23">
        <v>0</v>
      </c>
      <c r="L125" s="24">
        <v>0</v>
      </c>
      <c r="M125" s="38">
        <v>0</v>
      </c>
      <c r="N125" s="41">
        <v>0</v>
      </c>
      <c r="O125" s="23">
        <v>0</v>
      </c>
      <c r="P125" s="22">
        <v>0</v>
      </c>
      <c r="Q125" s="24">
        <f>8*2+10.4*2+9.95</f>
        <v>46.75</v>
      </c>
      <c r="R125" s="87">
        <f t="shared" si="58"/>
        <v>46.75</v>
      </c>
      <c r="S125" s="23">
        <f t="shared" si="59"/>
        <v>46.75</v>
      </c>
      <c r="T125" s="39">
        <f t="shared" si="55"/>
        <v>0</v>
      </c>
      <c r="U125" s="94">
        <f t="shared" si="56"/>
        <v>4675</v>
      </c>
      <c r="V125" s="38">
        <f t="shared" si="57"/>
        <v>4628.25</v>
      </c>
      <c r="W125" s="72">
        <f>792*2+1029.6*2+985.05</f>
        <v>4628.25</v>
      </c>
      <c r="X125" s="56">
        <f t="shared" si="60"/>
        <v>0</v>
      </c>
    </row>
    <row r="126" spans="8:24" x14ac:dyDescent="0.25">
      <c r="H126" s="19" t="s">
        <v>29</v>
      </c>
      <c r="I126" s="22">
        <f>800*4</f>
        <v>3200</v>
      </c>
      <c r="J126" s="68">
        <f>240+320+240+240+240</f>
        <v>1280</v>
      </c>
      <c r="K126" s="23">
        <v>0</v>
      </c>
      <c r="L126" s="24">
        <v>0</v>
      </c>
      <c r="M126" s="38">
        <v>0</v>
      </c>
      <c r="N126" s="41">
        <v>0</v>
      </c>
      <c r="O126" s="23">
        <v>0</v>
      </c>
      <c r="P126" s="22">
        <v>0</v>
      </c>
      <c r="Q126" s="24">
        <f>13.6+10.4*3</f>
        <v>44.800000000000004</v>
      </c>
      <c r="R126" s="87">
        <f t="shared" si="58"/>
        <v>44.800000000000004</v>
      </c>
      <c r="S126" s="23">
        <f t="shared" si="59"/>
        <v>44.800000000000004</v>
      </c>
      <c r="T126" s="39">
        <f t="shared" si="55"/>
        <v>0</v>
      </c>
      <c r="U126" s="94">
        <f t="shared" si="56"/>
        <v>4480</v>
      </c>
      <c r="V126" s="38">
        <f t="shared" si="57"/>
        <v>4435.2</v>
      </c>
      <c r="W126" s="72">
        <f>1346.4+1029.6*3</f>
        <v>4435.2</v>
      </c>
      <c r="X126" s="56">
        <f t="shared" si="60"/>
        <v>0</v>
      </c>
    </row>
    <row r="127" spans="8:24" x14ac:dyDescent="0.25">
      <c r="H127" s="19" t="s">
        <v>30</v>
      </c>
      <c r="I127" s="22">
        <f>800*5</f>
        <v>4000</v>
      </c>
      <c r="J127" s="68">
        <f>240</f>
        <v>240</v>
      </c>
      <c r="K127" s="23">
        <v>0</v>
      </c>
      <c r="L127" s="24">
        <v>0</v>
      </c>
      <c r="M127" s="38">
        <v>0</v>
      </c>
      <c r="N127" s="41">
        <v>0</v>
      </c>
      <c r="O127" s="23">
        <v>0</v>
      </c>
      <c r="P127" s="22">
        <v>0</v>
      </c>
      <c r="Q127" s="24">
        <f>8*4+10.4</f>
        <v>42.4</v>
      </c>
      <c r="R127" s="87">
        <f t="shared" si="58"/>
        <v>42.4</v>
      </c>
      <c r="S127" s="23">
        <f t="shared" si="59"/>
        <v>42.4</v>
      </c>
      <c r="T127" s="39">
        <f t="shared" si="55"/>
        <v>0</v>
      </c>
      <c r="U127" s="94">
        <f t="shared" si="56"/>
        <v>4240</v>
      </c>
      <c r="V127" s="38">
        <f t="shared" si="57"/>
        <v>4197.6000000000004</v>
      </c>
      <c r="W127" s="72">
        <f>592*4+829.6</f>
        <v>3197.6</v>
      </c>
      <c r="X127" s="56">
        <f t="shared" si="60"/>
        <v>1000.0000000000005</v>
      </c>
    </row>
    <row r="128" spans="8:24" x14ac:dyDescent="0.25">
      <c r="H128" s="19" t="s">
        <v>31</v>
      </c>
      <c r="I128" s="22">
        <f>800*4</f>
        <v>3200</v>
      </c>
      <c r="J128" s="68">
        <f>60+180+240</f>
        <v>480</v>
      </c>
      <c r="K128" s="23">
        <v>0</v>
      </c>
      <c r="L128" s="24">
        <v>0</v>
      </c>
      <c r="M128" s="38">
        <v>0</v>
      </c>
      <c r="N128" s="41">
        <v>100</v>
      </c>
      <c r="O128" s="23">
        <v>0</v>
      </c>
      <c r="P128" s="22">
        <v>0</v>
      </c>
      <c r="Q128" s="24">
        <f>8+8.6+9.8+10.4</f>
        <v>36.800000000000004</v>
      </c>
      <c r="R128" s="87">
        <f t="shared" si="58"/>
        <v>36.800000000000004</v>
      </c>
      <c r="S128" s="23">
        <f t="shared" si="59"/>
        <v>36.800000000000004</v>
      </c>
      <c r="T128" s="39">
        <f t="shared" si="55"/>
        <v>0</v>
      </c>
      <c r="U128" s="94">
        <f t="shared" si="56"/>
        <v>3680</v>
      </c>
      <c r="V128" s="38">
        <f t="shared" si="57"/>
        <v>3743.2</v>
      </c>
      <c r="W128" s="72">
        <f>592+651.4+870.2+829.6</f>
        <v>2943.2000000000003</v>
      </c>
      <c r="X128" s="56">
        <f t="shared" si="60"/>
        <v>799.99999999999955</v>
      </c>
    </row>
    <row r="129" spans="8:24" x14ac:dyDescent="0.25">
      <c r="H129" s="19" t="s">
        <v>32</v>
      </c>
      <c r="I129" s="22">
        <f>800*2</f>
        <v>1600</v>
      </c>
      <c r="J129" s="68">
        <v>0</v>
      </c>
      <c r="K129" s="23">
        <f>2051.28</f>
        <v>2051.2800000000002</v>
      </c>
      <c r="L129" s="24">
        <v>2961.76</v>
      </c>
      <c r="M129" s="38">
        <v>0</v>
      </c>
      <c r="N129" s="41">
        <v>0</v>
      </c>
      <c r="O129" s="23">
        <v>0</v>
      </c>
      <c r="P129" s="22">
        <v>0</v>
      </c>
      <c r="Q129" s="24">
        <f>58.13+8</f>
        <v>66.13</v>
      </c>
      <c r="R129" s="87">
        <f t="shared" si="58"/>
        <v>66.13</v>
      </c>
      <c r="S129" s="23">
        <f t="shared" si="59"/>
        <v>66.13</v>
      </c>
      <c r="T129" s="39">
        <f t="shared" si="55"/>
        <v>0</v>
      </c>
      <c r="U129" s="94">
        <f>I129+M129+K129+L129-O129</f>
        <v>6613.0400000000009</v>
      </c>
      <c r="V129" s="38">
        <f t="shared" si="57"/>
        <v>6546.9100000000008</v>
      </c>
      <c r="W129" s="72">
        <f>4754.91+592</f>
        <v>5346.91</v>
      </c>
      <c r="X129" s="56">
        <f t="shared" si="60"/>
        <v>1200.0000000000009</v>
      </c>
    </row>
    <row r="130" spans="8:24" x14ac:dyDescent="0.25">
      <c r="H130" s="19" t="s">
        <v>33</v>
      </c>
      <c r="I130" s="22">
        <f>800*4</f>
        <v>3200</v>
      </c>
      <c r="J130" s="68">
        <v>0</v>
      </c>
      <c r="K130" s="23">
        <v>0</v>
      </c>
      <c r="L130" s="24">
        <v>0</v>
      </c>
      <c r="M130" s="38">
        <v>0</v>
      </c>
      <c r="N130" s="41">
        <v>0</v>
      </c>
      <c r="O130" s="23">
        <v>0</v>
      </c>
      <c r="P130" s="22">
        <v>0</v>
      </c>
      <c r="Q130" s="24">
        <f>8*4</f>
        <v>32</v>
      </c>
      <c r="R130" s="87">
        <f t="shared" si="58"/>
        <v>32</v>
      </c>
      <c r="S130" s="23">
        <f t="shared" si="59"/>
        <v>32</v>
      </c>
      <c r="T130" s="39">
        <f t="shared" si="55"/>
        <v>0</v>
      </c>
      <c r="U130" s="94">
        <f>I130+M130-O130</f>
        <v>3200</v>
      </c>
      <c r="V130" s="38">
        <f t="shared" si="57"/>
        <v>3168</v>
      </c>
      <c r="W130" s="72">
        <f>542*4</f>
        <v>2168</v>
      </c>
      <c r="X130" s="56">
        <f t="shared" si="60"/>
        <v>1000</v>
      </c>
    </row>
    <row r="131" spans="8:24" ht="15.75" thickBot="1" x14ac:dyDescent="0.3">
      <c r="H131" s="20" t="s">
        <v>34</v>
      </c>
      <c r="I131" s="26">
        <f>800*4</f>
        <v>3200</v>
      </c>
      <c r="J131" s="69">
        <v>0</v>
      </c>
      <c r="K131" s="27">
        <v>0</v>
      </c>
      <c r="L131" s="28">
        <v>0</v>
      </c>
      <c r="M131" s="38">
        <v>0</v>
      </c>
      <c r="N131" s="43">
        <v>0</v>
      </c>
      <c r="O131" s="27">
        <v>0</v>
      </c>
      <c r="P131" s="26">
        <v>0</v>
      </c>
      <c r="Q131" s="28">
        <f>8*4</f>
        <v>32</v>
      </c>
      <c r="R131" s="80">
        <f t="shared" si="58"/>
        <v>32</v>
      </c>
      <c r="S131" s="27">
        <f t="shared" si="59"/>
        <v>32</v>
      </c>
      <c r="T131" s="39">
        <f t="shared" si="55"/>
        <v>0</v>
      </c>
      <c r="U131" s="53">
        <f>I131+M131-O131</f>
        <v>3200</v>
      </c>
      <c r="V131" s="42">
        <f t="shared" si="57"/>
        <v>3168</v>
      </c>
      <c r="W131" s="73">
        <f>542*4</f>
        <v>2168</v>
      </c>
      <c r="X131" s="56">
        <f t="shared" si="60"/>
        <v>1000</v>
      </c>
    </row>
    <row r="132" spans="8:24" ht="15.75" thickBot="1" x14ac:dyDescent="0.3">
      <c r="I132" s="29">
        <f t="shared" ref="I132" si="61">SUM(I120:I131)</f>
        <v>38600</v>
      </c>
      <c r="J132" s="59">
        <f>SUM(J120:J131)</f>
        <v>3395</v>
      </c>
      <c r="K132" s="30">
        <f>SUM(K120:K131)</f>
        <v>2051.2800000000002</v>
      </c>
      <c r="L132" s="31">
        <f t="shared" ref="L132:V132" si="62">SUM(L120:L131)</f>
        <v>2961.76</v>
      </c>
      <c r="M132" s="29">
        <f t="shared" si="62"/>
        <v>0</v>
      </c>
      <c r="N132" s="44">
        <f t="shared" si="62"/>
        <v>100</v>
      </c>
      <c r="O132" s="30">
        <f t="shared" si="62"/>
        <v>0</v>
      </c>
      <c r="P132" s="37">
        <f t="shared" si="62"/>
        <v>0</v>
      </c>
      <c r="Q132" s="31">
        <f t="shared" si="62"/>
        <v>470.08</v>
      </c>
      <c r="R132" s="81">
        <f t="shared" si="62"/>
        <v>470.08</v>
      </c>
      <c r="S132" s="66">
        <f t="shared" si="62"/>
        <v>470.08</v>
      </c>
      <c r="T132" s="44">
        <f t="shared" si="62"/>
        <v>0</v>
      </c>
      <c r="U132" s="54">
        <f t="shared" si="62"/>
        <v>47008.04</v>
      </c>
      <c r="V132" s="55">
        <f t="shared" si="62"/>
        <v>46637.96</v>
      </c>
      <c r="W132" s="74">
        <f>SUM(W120:W131)</f>
        <v>41137.960000000006</v>
      </c>
      <c r="X132" s="75"/>
    </row>
    <row r="133" spans="8:24" ht="15.75" thickBot="1" x14ac:dyDescent="0.3">
      <c r="I133" s="150">
        <f>SUM(I132:J132)</f>
        <v>41995</v>
      </c>
      <c r="J133" s="151"/>
      <c r="K133" s="152">
        <f>SUM(K132:L132)</f>
        <v>5013.0400000000009</v>
      </c>
      <c r="L133" s="153"/>
      <c r="M133" s="50">
        <v>3810</v>
      </c>
      <c r="P133" s="50">
        <v>4102</v>
      </c>
      <c r="Q133" s="163">
        <f>SUM(Q132:R132)</f>
        <v>940.16</v>
      </c>
      <c r="R133" s="164"/>
      <c r="U133" s="50">
        <v>3698</v>
      </c>
    </row>
    <row r="134" spans="8:24" x14ac:dyDescent="0.25">
      <c r="I134" s="160">
        <v>3601</v>
      </c>
      <c r="J134" s="160"/>
      <c r="K134" s="161">
        <v>3605</v>
      </c>
      <c r="L134" s="161"/>
      <c r="Q134" s="162">
        <v>4141</v>
      </c>
      <c r="R134" s="162"/>
    </row>
    <row r="136" spans="8:24" ht="16.5" thickBot="1" x14ac:dyDescent="0.3">
      <c r="H136" s="46" t="s">
        <v>58</v>
      </c>
      <c r="I136" s="12"/>
      <c r="J136" s="12"/>
      <c r="K136" s="12"/>
    </row>
    <row r="137" spans="8:24" ht="16.5" thickBot="1" x14ac:dyDescent="0.3">
      <c r="H137" s="12"/>
      <c r="I137" s="142" t="s">
        <v>36</v>
      </c>
      <c r="J137" s="144"/>
      <c r="K137" s="144"/>
      <c r="L137" s="143"/>
      <c r="M137" s="142" t="s">
        <v>37</v>
      </c>
      <c r="N137" s="143"/>
      <c r="O137" s="142" t="s">
        <v>38</v>
      </c>
      <c r="P137" s="144"/>
      <c r="Q137" s="143"/>
      <c r="R137" s="142" t="s">
        <v>41</v>
      </c>
      <c r="S137" s="144"/>
      <c r="T137" s="143"/>
      <c r="U137" s="136" t="s">
        <v>39</v>
      </c>
      <c r="V137" s="154" t="s">
        <v>42</v>
      </c>
      <c r="W137" s="156" t="s">
        <v>43</v>
      </c>
      <c r="X137" s="158" t="s">
        <v>44</v>
      </c>
    </row>
    <row r="138" spans="8:24" ht="15.75" thickBot="1" x14ac:dyDescent="0.3">
      <c r="H138" s="45" t="s">
        <v>22</v>
      </c>
      <c r="I138" s="14" t="s">
        <v>18</v>
      </c>
      <c r="J138" s="76" t="s">
        <v>49</v>
      </c>
      <c r="K138" s="15" t="s">
        <v>48</v>
      </c>
      <c r="L138" s="35" t="s">
        <v>35</v>
      </c>
      <c r="M138" s="14" t="s">
        <v>20</v>
      </c>
      <c r="N138" s="16" t="s">
        <v>45</v>
      </c>
      <c r="O138" s="15" t="s">
        <v>19</v>
      </c>
      <c r="P138" s="36" t="s">
        <v>12</v>
      </c>
      <c r="Q138" s="35" t="s">
        <v>13</v>
      </c>
      <c r="R138" s="90" t="s">
        <v>13</v>
      </c>
      <c r="S138" s="88" t="s">
        <v>40</v>
      </c>
      <c r="T138" s="16" t="s">
        <v>19</v>
      </c>
      <c r="U138" s="137"/>
      <c r="V138" s="155"/>
      <c r="W138" s="157"/>
      <c r="X138" s="159"/>
    </row>
    <row r="139" spans="8:24" x14ac:dyDescent="0.25">
      <c r="H139" s="18" t="s">
        <v>23</v>
      </c>
      <c r="I139" s="32">
        <v>0</v>
      </c>
      <c r="J139" s="57">
        <v>0</v>
      </c>
      <c r="K139" s="23">
        <v>0</v>
      </c>
      <c r="L139" s="24">
        <v>0</v>
      </c>
      <c r="M139" s="38">
        <v>0</v>
      </c>
      <c r="N139" s="39">
        <v>0</v>
      </c>
      <c r="O139" s="33">
        <v>0</v>
      </c>
      <c r="P139" s="32">
        <v>0</v>
      </c>
      <c r="Q139" s="34">
        <v>0</v>
      </c>
      <c r="R139" s="86">
        <f>Q139</f>
        <v>0</v>
      </c>
      <c r="S139" s="33">
        <f>R139</f>
        <v>0</v>
      </c>
      <c r="T139" s="39">
        <f t="shared" ref="T139:T150" si="63">O139</f>
        <v>0</v>
      </c>
      <c r="U139" s="94">
        <f t="shared" ref="U139:U147" si="64">I139+J139+M139-O139</f>
        <v>0</v>
      </c>
      <c r="V139" s="38">
        <f t="shared" ref="V139:V150" si="65">SUM(I139:L139)+N139-SUM(O139:Q139)</f>
        <v>0</v>
      </c>
      <c r="W139" s="71">
        <v>0</v>
      </c>
      <c r="X139" s="78">
        <f>V139-W139</f>
        <v>0</v>
      </c>
    </row>
    <row r="140" spans="8:24" x14ac:dyDescent="0.25">
      <c r="H140" s="19" t="s">
        <v>24</v>
      </c>
      <c r="I140" s="22">
        <v>0</v>
      </c>
      <c r="J140" s="68">
        <v>0</v>
      </c>
      <c r="K140" s="23">
        <v>0</v>
      </c>
      <c r="L140" s="24">
        <v>0</v>
      </c>
      <c r="M140" s="38">
        <v>0</v>
      </c>
      <c r="N140" s="41">
        <v>0</v>
      </c>
      <c r="O140" s="23">
        <v>0</v>
      </c>
      <c r="P140" s="22">
        <v>0</v>
      </c>
      <c r="Q140" s="24">
        <v>0</v>
      </c>
      <c r="R140" s="87">
        <f t="shared" ref="R140:R150" si="66">Q140</f>
        <v>0</v>
      </c>
      <c r="S140" s="23">
        <f t="shared" ref="S140:S150" si="67">R140</f>
        <v>0</v>
      </c>
      <c r="T140" s="39">
        <f t="shared" si="63"/>
        <v>0</v>
      </c>
      <c r="U140" s="94">
        <f t="shared" si="64"/>
        <v>0</v>
      </c>
      <c r="V140" s="38">
        <f t="shared" si="65"/>
        <v>0</v>
      </c>
      <c r="W140" s="72">
        <v>0</v>
      </c>
      <c r="X140" s="56">
        <f t="shared" ref="X140:X150" si="68">V140-W140</f>
        <v>0</v>
      </c>
    </row>
    <row r="141" spans="8:24" x14ac:dyDescent="0.25">
      <c r="H141" s="19" t="s">
        <v>25</v>
      </c>
      <c r="I141" s="22">
        <v>0</v>
      </c>
      <c r="J141" s="68">
        <v>0</v>
      </c>
      <c r="K141" s="23">
        <v>0</v>
      </c>
      <c r="L141" s="24">
        <v>0</v>
      </c>
      <c r="M141" s="38">
        <v>0</v>
      </c>
      <c r="N141" s="41">
        <v>0</v>
      </c>
      <c r="O141" s="23">
        <v>0</v>
      </c>
      <c r="P141" s="22">
        <v>0</v>
      </c>
      <c r="Q141" s="24">
        <v>0</v>
      </c>
      <c r="R141" s="87">
        <f t="shared" si="66"/>
        <v>0</v>
      </c>
      <c r="S141" s="23">
        <f t="shared" si="67"/>
        <v>0</v>
      </c>
      <c r="T141" s="39">
        <f t="shared" si="63"/>
        <v>0</v>
      </c>
      <c r="U141" s="94">
        <f t="shared" si="64"/>
        <v>0</v>
      </c>
      <c r="V141" s="38">
        <f t="shared" si="65"/>
        <v>0</v>
      </c>
      <c r="W141" s="72">
        <v>0</v>
      </c>
      <c r="X141" s="56">
        <f t="shared" si="68"/>
        <v>0</v>
      </c>
    </row>
    <row r="142" spans="8:24" x14ac:dyDescent="0.25">
      <c r="H142" s="19" t="s">
        <v>26</v>
      </c>
      <c r="I142" s="22">
        <v>0</v>
      </c>
      <c r="J142" s="68">
        <v>0</v>
      </c>
      <c r="K142" s="23">
        <v>0</v>
      </c>
      <c r="L142" s="24">
        <v>0</v>
      </c>
      <c r="M142" s="38">
        <v>0</v>
      </c>
      <c r="N142" s="41">
        <v>0</v>
      </c>
      <c r="O142" s="23">
        <v>0</v>
      </c>
      <c r="P142" s="22">
        <v>0</v>
      </c>
      <c r="Q142" s="24">
        <v>0</v>
      </c>
      <c r="R142" s="87">
        <f t="shared" si="66"/>
        <v>0</v>
      </c>
      <c r="S142" s="23">
        <f t="shared" si="67"/>
        <v>0</v>
      </c>
      <c r="T142" s="39">
        <f t="shared" si="63"/>
        <v>0</v>
      </c>
      <c r="U142" s="94">
        <f t="shared" si="64"/>
        <v>0</v>
      </c>
      <c r="V142" s="38">
        <f t="shared" si="65"/>
        <v>0</v>
      </c>
      <c r="W142" s="72">
        <v>0</v>
      </c>
      <c r="X142" s="56">
        <f t="shared" si="68"/>
        <v>0</v>
      </c>
    </row>
    <row r="143" spans="8:24" x14ac:dyDescent="0.25">
      <c r="H143" s="19" t="s">
        <v>27</v>
      </c>
      <c r="I143" s="22">
        <f>1200*3+720</f>
        <v>4320</v>
      </c>
      <c r="J143" s="68">
        <v>0</v>
      </c>
      <c r="K143" s="23">
        <v>0</v>
      </c>
      <c r="L143" s="24">
        <v>0</v>
      </c>
      <c r="M143" s="38">
        <v>0</v>
      </c>
      <c r="N143" s="41">
        <v>0</v>
      </c>
      <c r="O143" s="23">
        <v>0</v>
      </c>
      <c r="P143" s="22">
        <v>0</v>
      </c>
      <c r="Q143" s="24">
        <f>12*3+7.2</f>
        <v>43.2</v>
      </c>
      <c r="R143" s="87">
        <f t="shared" si="66"/>
        <v>43.2</v>
      </c>
      <c r="S143" s="23">
        <f t="shared" si="67"/>
        <v>43.2</v>
      </c>
      <c r="T143" s="39">
        <f t="shared" si="63"/>
        <v>0</v>
      </c>
      <c r="U143" s="94">
        <f t="shared" si="64"/>
        <v>4320</v>
      </c>
      <c r="V143" s="38">
        <f t="shared" si="65"/>
        <v>4276.8</v>
      </c>
      <c r="W143" s="72">
        <f>1188*3+712.8</f>
        <v>4276.8</v>
      </c>
      <c r="X143" s="56">
        <f t="shared" si="68"/>
        <v>0</v>
      </c>
    </row>
    <row r="144" spans="8:24" x14ac:dyDescent="0.25">
      <c r="H144" s="19" t="s">
        <v>28</v>
      </c>
      <c r="I144" s="22">
        <f>1200*5</f>
        <v>6000</v>
      </c>
      <c r="J144" s="68">
        <f>360*4</f>
        <v>1440</v>
      </c>
      <c r="K144" s="23">
        <v>0</v>
      </c>
      <c r="L144" s="24">
        <v>0</v>
      </c>
      <c r="M144" s="38">
        <v>0</v>
      </c>
      <c r="N144" s="41">
        <v>0</v>
      </c>
      <c r="O144" s="23">
        <v>0</v>
      </c>
      <c r="P144" s="22">
        <f>60.78+60.81+60.8+42.38</f>
        <v>224.76999999999998</v>
      </c>
      <c r="Q144" s="24">
        <f>15.6*4+12</f>
        <v>74.400000000000006</v>
      </c>
      <c r="R144" s="87">
        <f t="shared" si="66"/>
        <v>74.400000000000006</v>
      </c>
      <c r="S144" s="23">
        <f t="shared" si="67"/>
        <v>74.400000000000006</v>
      </c>
      <c r="T144" s="39">
        <f t="shared" si="63"/>
        <v>0</v>
      </c>
      <c r="U144" s="94">
        <f t="shared" si="64"/>
        <v>7440</v>
      </c>
      <c r="V144" s="38">
        <f t="shared" si="65"/>
        <v>7140.83</v>
      </c>
      <c r="W144" s="72">
        <f>1483.62+1483.59+1483.6+1502.02+1188</f>
        <v>7140.83</v>
      </c>
      <c r="X144" s="56">
        <f t="shared" si="68"/>
        <v>0</v>
      </c>
    </row>
    <row r="145" spans="8:24" x14ac:dyDescent="0.25">
      <c r="H145" s="19" t="s">
        <v>29</v>
      </c>
      <c r="I145" s="22">
        <f>1200*4</f>
        <v>4800</v>
      </c>
      <c r="J145" s="68">
        <f>360+360+360</f>
        <v>1080</v>
      </c>
      <c r="K145" s="23">
        <v>0</v>
      </c>
      <c r="L145" s="24">
        <v>0</v>
      </c>
      <c r="M145" s="38">
        <v>0</v>
      </c>
      <c r="N145" s="41">
        <v>0</v>
      </c>
      <c r="O145" s="23">
        <v>0</v>
      </c>
      <c r="P145" s="22">
        <f>60.83+60.78+60.79-3.97</f>
        <v>178.43</v>
      </c>
      <c r="Q145" s="24">
        <f>15.6*3+12</f>
        <v>58.8</v>
      </c>
      <c r="R145" s="87">
        <f t="shared" si="66"/>
        <v>58.8</v>
      </c>
      <c r="S145" s="23">
        <f t="shared" si="67"/>
        <v>58.8</v>
      </c>
      <c r="T145" s="39">
        <f t="shared" si="63"/>
        <v>0</v>
      </c>
      <c r="U145" s="94">
        <f t="shared" si="64"/>
        <v>5880</v>
      </c>
      <c r="V145" s="38">
        <f t="shared" si="65"/>
        <v>5642.77</v>
      </c>
      <c r="W145" s="72">
        <f>1183.57+1183.62+1483.61+1191.97</f>
        <v>5042.7699999999995</v>
      </c>
      <c r="X145" s="56">
        <f t="shared" si="68"/>
        <v>600.00000000000091</v>
      </c>
    </row>
    <row r="146" spans="8:24" x14ac:dyDescent="0.25">
      <c r="H146" s="19" t="s">
        <v>30</v>
      </c>
      <c r="I146" s="22">
        <f>1200*5</f>
        <v>6000</v>
      </c>
      <c r="J146" s="68">
        <f>360+360+427.5+367.2+630</f>
        <v>2144.6999999999998</v>
      </c>
      <c r="K146" s="23">
        <v>0</v>
      </c>
      <c r="L146" s="24">
        <v>0</v>
      </c>
      <c r="M146" s="38">
        <v>0</v>
      </c>
      <c r="N146" s="41">
        <v>0</v>
      </c>
      <c r="O146" s="23">
        <v>0</v>
      </c>
      <c r="P146" s="22">
        <f>60.83+60.76+72.95+62.11+109.39</f>
        <v>366.04</v>
      </c>
      <c r="Q146" s="24">
        <f>15.6+15.6+16.28+15.67+18.3</f>
        <v>81.45</v>
      </c>
      <c r="R146" s="87">
        <f t="shared" si="66"/>
        <v>81.45</v>
      </c>
      <c r="S146" s="23">
        <f t="shared" si="67"/>
        <v>81.45</v>
      </c>
      <c r="T146" s="39">
        <f t="shared" si="63"/>
        <v>0</v>
      </c>
      <c r="U146" s="94">
        <f t="shared" si="64"/>
        <v>8144.7</v>
      </c>
      <c r="V146" s="38">
        <f t="shared" si="65"/>
        <v>7697.21</v>
      </c>
      <c r="W146" s="72">
        <f>1183.57+1183.64+1238.27+1189.42+1402.31</f>
        <v>6197.2099999999991</v>
      </c>
      <c r="X146" s="56">
        <f t="shared" si="68"/>
        <v>1500.0000000000009</v>
      </c>
    </row>
    <row r="147" spans="8:24" x14ac:dyDescent="0.25">
      <c r="H147" s="19" t="s">
        <v>31</v>
      </c>
      <c r="I147" s="22">
        <f>1200*4</f>
        <v>4800</v>
      </c>
      <c r="J147" s="68">
        <f>270+405+540+360</f>
        <v>1575</v>
      </c>
      <c r="K147" s="23">
        <v>0</v>
      </c>
      <c r="L147" s="24">
        <v>0</v>
      </c>
      <c r="M147" s="38">
        <v>0</v>
      </c>
      <c r="N147" s="41">
        <v>0</v>
      </c>
      <c r="O147" s="23">
        <v>0</v>
      </c>
      <c r="P147" s="22">
        <f>44.57+68.93+93.2+60.77</f>
        <v>267.46999999999997</v>
      </c>
      <c r="Q147" s="24">
        <f>14.7+16.05+17.4+15.6</f>
        <v>63.75</v>
      </c>
      <c r="R147" s="87">
        <f t="shared" si="66"/>
        <v>63.75</v>
      </c>
      <c r="S147" s="23">
        <f t="shared" si="67"/>
        <v>63.75</v>
      </c>
      <c r="T147" s="39">
        <f t="shared" si="63"/>
        <v>0</v>
      </c>
      <c r="U147" s="94">
        <f t="shared" si="64"/>
        <v>6375</v>
      </c>
      <c r="V147" s="38">
        <f t="shared" si="65"/>
        <v>6043.78</v>
      </c>
      <c r="W147" s="72">
        <f>1410.73+1120.02+1329.4+1183.63</f>
        <v>5043.7800000000007</v>
      </c>
      <c r="X147" s="56">
        <f t="shared" si="68"/>
        <v>999.99999999999909</v>
      </c>
    </row>
    <row r="148" spans="8:24" x14ac:dyDescent="0.25">
      <c r="H148" s="19" t="s">
        <v>32</v>
      </c>
      <c r="I148" s="22">
        <f>285+1200*2</f>
        <v>2685</v>
      </c>
      <c r="J148" s="68">
        <v>0</v>
      </c>
      <c r="K148" s="23">
        <v>1815.38</v>
      </c>
      <c r="L148" s="24">
        <v>2621.15</v>
      </c>
      <c r="M148" s="38">
        <v>0</v>
      </c>
      <c r="N148" s="41">
        <v>0</v>
      </c>
      <c r="O148" s="23">
        <v>0</v>
      </c>
      <c r="P148" s="22">
        <f>134.6-4.03</f>
        <v>130.57</v>
      </c>
      <c r="Q148" s="24">
        <f>56.37+12</f>
        <v>68.37</v>
      </c>
      <c r="R148" s="87">
        <f t="shared" si="66"/>
        <v>68.37</v>
      </c>
      <c r="S148" s="23">
        <f t="shared" si="67"/>
        <v>68.37</v>
      </c>
      <c r="T148" s="39">
        <f t="shared" si="63"/>
        <v>0</v>
      </c>
      <c r="U148" s="94">
        <f>I148+M148+K148+L148-O148</f>
        <v>7121.5300000000007</v>
      </c>
      <c r="V148" s="38">
        <f t="shared" si="65"/>
        <v>6922.5900000000011</v>
      </c>
      <c r="W148" s="72">
        <f>285+5445.56+1192.03</f>
        <v>6922.59</v>
      </c>
      <c r="X148" s="56">
        <f t="shared" si="68"/>
        <v>0</v>
      </c>
    </row>
    <row r="149" spans="8:24" x14ac:dyDescent="0.25">
      <c r="H149" s="19" t="s">
        <v>33</v>
      </c>
      <c r="I149" s="22">
        <f>1200*4</f>
        <v>4800</v>
      </c>
      <c r="J149" s="68">
        <v>0</v>
      </c>
      <c r="K149" s="23">
        <v>0</v>
      </c>
      <c r="L149" s="24">
        <v>0</v>
      </c>
      <c r="M149" s="38">
        <v>0</v>
      </c>
      <c r="N149" s="41">
        <v>0</v>
      </c>
      <c r="O149" s="23">
        <v>0</v>
      </c>
      <c r="P149" s="22">
        <f>-3.99-3.98-3.98+47.26</f>
        <v>35.309999999999995</v>
      </c>
      <c r="Q149" s="24">
        <f>12*4</f>
        <v>48</v>
      </c>
      <c r="R149" s="87">
        <f t="shared" si="66"/>
        <v>48</v>
      </c>
      <c r="S149" s="23">
        <f t="shared" si="67"/>
        <v>48</v>
      </c>
      <c r="T149" s="39">
        <f t="shared" si="63"/>
        <v>0</v>
      </c>
      <c r="U149" s="94">
        <f>I149+M149-O149</f>
        <v>4800</v>
      </c>
      <c r="V149" s="38">
        <f t="shared" si="65"/>
        <v>4716.6899999999996</v>
      </c>
      <c r="W149" s="72">
        <f>991.99+1191.98+1191.98+1140.74</f>
        <v>4516.6900000000005</v>
      </c>
      <c r="X149" s="56">
        <f t="shared" si="68"/>
        <v>199.99999999999909</v>
      </c>
    </row>
    <row r="150" spans="8:24" ht="15.75" thickBot="1" x14ac:dyDescent="0.3">
      <c r="H150" s="20" t="s">
        <v>34</v>
      </c>
      <c r="I150" s="26">
        <f>1200*4</f>
        <v>4800</v>
      </c>
      <c r="J150" s="69">
        <v>0</v>
      </c>
      <c r="K150" s="27">
        <v>0</v>
      </c>
      <c r="L150" s="28">
        <v>0</v>
      </c>
      <c r="M150" s="38">
        <v>0</v>
      </c>
      <c r="N150" s="43">
        <v>0</v>
      </c>
      <c r="O150" s="27">
        <v>0</v>
      </c>
      <c r="P150" s="26">
        <f>-4-4.18-3.9-4.01</f>
        <v>-16.09</v>
      </c>
      <c r="Q150" s="28">
        <f>12*4</f>
        <v>48</v>
      </c>
      <c r="R150" s="80">
        <f t="shared" si="66"/>
        <v>48</v>
      </c>
      <c r="S150" s="27">
        <f t="shared" si="67"/>
        <v>48</v>
      </c>
      <c r="T150" s="39">
        <f t="shared" si="63"/>
        <v>0</v>
      </c>
      <c r="U150" s="53">
        <f>I150+M150-O150</f>
        <v>4800</v>
      </c>
      <c r="V150" s="42">
        <f t="shared" si="65"/>
        <v>4768.09</v>
      </c>
      <c r="W150" s="73">
        <f>992+992.18+991.9+992.01</f>
        <v>3968.09</v>
      </c>
      <c r="X150" s="56">
        <f t="shared" si="68"/>
        <v>800</v>
      </c>
    </row>
    <row r="151" spans="8:24" ht="15.75" thickBot="1" x14ac:dyDescent="0.3">
      <c r="I151" s="29">
        <f t="shared" ref="I151" si="69">SUM(I139:I150)</f>
        <v>38205</v>
      </c>
      <c r="J151" s="59">
        <f>SUM(J139:J150)</f>
        <v>6239.7</v>
      </c>
      <c r="K151" s="30">
        <f>SUM(K139:K150)</f>
        <v>1815.38</v>
      </c>
      <c r="L151" s="31">
        <f t="shared" ref="L151:V151" si="70">SUM(L139:L150)</f>
        <v>2621.15</v>
      </c>
      <c r="M151" s="29">
        <f t="shared" si="70"/>
        <v>0</v>
      </c>
      <c r="N151" s="44">
        <f t="shared" si="70"/>
        <v>0</v>
      </c>
      <c r="O151" s="30">
        <f t="shared" si="70"/>
        <v>0</v>
      </c>
      <c r="P151" s="37">
        <f t="shared" si="70"/>
        <v>1186.5</v>
      </c>
      <c r="Q151" s="31">
        <f t="shared" si="70"/>
        <v>485.97</v>
      </c>
      <c r="R151" s="81">
        <f t="shared" si="70"/>
        <v>485.97</v>
      </c>
      <c r="S151" s="66">
        <f t="shared" si="70"/>
        <v>485.97</v>
      </c>
      <c r="T151" s="44">
        <f t="shared" si="70"/>
        <v>0</v>
      </c>
      <c r="U151" s="54">
        <f t="shared" si="70"/>
        <v>48881.23</v>
      </c>
      <c r="V151" s="55">
        <f t="shared" si="70"/>
        <v>47208.760000000009</v>
      </c>
      <c r="W151" s="74">
        <f>SUM(W139:W150)</f>
        <v>43108.759999999995</v>
      </c>
      <c r="X151" s="75"/>
    </row>
    <row r="152" spans="8:24" ht="15.75" thickBot="1" x14ac:dyDescent="0.3">
      <c r="I152" s="150">
        <f>SUM(I151:J151)</f>
        <v>44444.7</v>
      </c>
      <c r="J152" s="151"/>
      <c r="K152" s="152">
        <f>SUM(K151:L151)</f>
        <v>4436.5300000000007</v>
      </c>
      <c r="L152" s="153"/>
      <c r="M152" s="50">
        <v>3810</v>
      </c>
      <c r="P152" s="50">
        <v>4102</v>
      </c>
      <c r="Q152" s="163">
        <f>SUM(Q151:R151)</f>
        <v>971.94</v>
      </c>
      <c r="R152" s="164"/>
      <c r="U152" s="50">
        <v>3698</v>
      </c>
    </row>
    <row r="153" spans="8:24" x14ac:dyDescent="0.25">
      <c r="I153" s="160">
        <v>3601</v>
      </c>
      <c r="J153" s="160"/>
      <c r="K153" s="161">
        <v>3605</v>
      </c>
      <c r="L153" s="161"/>
      <c r="Q153" s="162">
        <v>4141</v>
      </c>
      <c r="R153" s="162"/>
    </row>
    <row r="155" spans="8:24" ht="16.5" thickBot="1" x14ac:dyDescent="0.3">
      <c r="H155" s="46" t="s">
        <v>59</v>
      </c>
      <c r="I155" s="12"/>
      <c r="J155" s="12"/>
      <c r="K155" s="12"/>
    </row>
    <row r="156" spans="8:24" ht="16.5" thickBot="1" x14ac:dyDescent="0.3">
      <c r="H156" s="12"/>
      <c r="I156" s="142" t="s">
        <v>36</v>
      </c>
      <c r="J156" s="144"/>
      <c r="K156" s="144"/>
      <c r="L156" s="143"/>
      <c r="M156" s="142" t="s">
        <v>37</v>
      </c>
      <c r="N156" s="143"/>
      <c r="O156" s="142" t="s">
        <v>38</v>
      </c>
      <c r="P156" s="144"/>
      <c r="Q156" s="143"/>
      <c r="R156" s="142" t="s">
        <v>41</v>
      </c>
      <c r="S156" s="144"/>
      <c r="T156" s="143"/>
      <c r="U156" s="136" t="s">
        <v>39</v>
      </c>
      <c r="V156" s="154" t="s">
        <v>42</v>
      </c>
      <c r="W156" s="156" t="s">
        <v>43</v>
      </c>
      <c r="X156" s="158" t="s">
        <v>44</v>
      </c>
    </row>
    <row r="157" spans="8:24" ht="15.75" thickBot="1" x14ac:dyDescent="0.3">
      <c r="H157" s="45" t="s">
        <v>22</v>
      </c>
      <c r="I157" s="14" t="s">
        <v>18</v>
      </c>
      <c r="J157" s="76" t="s">
        <v>49</v>
      </c>
      <c r="K157" s="15" t="s">
        <v>48</v>
      </c>
      <c r="L157" s="35" t="s">
        <v>35</v>
      </c>
      <c r="M157" s="14" t="s">
        <v>20</v>
      </c>
      <c r="N157" s="16" t="s">
        <v>45</v>
      </c>
      <c r="O157" s="15" t="s">
        <v>19</v>
      </c>
      <c r="P157" s="36" t="s">
        <v>12</v>
      </c>
      <c r="Q157" s="35" t="s">
        <v>13</v>
      </c>
      <c r="R157" s="90" t="s">
        <v>13</v>
      </c>
      <c r="S157" s="88" t="s">
        <v>40</v>
      </c>
      <c r="T157" s="16" t="s">
        <v>19</v>
      </c>
      <c r="U157" s="137"/>
      <c r="V157" s="155"/>
      <c r="W157" s="157"/>
      <c r="X157" s="159"/>
    </row>
    <row r="158" spans="8:24" x14ac:dyDescent="0.25">
      <c r="H158" s="18" t="s">
        <v>23</v>
      </c>
      <c r="I158" s="32">
        <v>0</v>
      </c>
      <c r="J158" s="57">
        <v>0</v>
      </c>
      <c r="K158" s="23">
        <v>0</v>
      </c>
      <c r="L158" s="24">
        <v>0</v>
      </c>
      <c r="M158" s="38">
        <v>0</v>
      </c>
      <c r="N158" s="39">
        <v>0</v>
      </c>
      <c r="O158" s="33">
        <v>0</v>
      </c>
      <c r="P158" s="32">
        <v>0</v>
      </c>
      <c r="Q158" s="34">
        <v>0</v>
      </c>
      <c r="R158" s="86">
        <f>Q158</f>
        <v>0</v>
      </c>
      <c r="S158" s="33">
        <f>R158</f>
        <v>0</v>
      </c>
      <c r="T158" s="39">
        <f t="shared" ref="T158:T169" si="71">O158</f>
        <v>0</v>
      </c>
      <c r="U158" s="94">
        <f t="shared" ref="U158:U166" si="72">I158+J158+M158-O158</f>
        <v>0</v>
      </c>
      <c r="V158" s="38">
        <f t="shared" ref="V158:V169" si="73">SUM(I158:L158)+N158-SUM(O158:Q158)</f>
        <v>0</v>
      </c>
      <c r="W158" s="71">
        <v>0</v>
      </c>
      <c r="X158" s="78">
        <f>V158-W158</f>
        <v>0</v>
      </c>
    </row>
    <row r="159" spans="8:24" x14ac:dyDescent="0.25">
      <c r="H159" s="19" t="s">
        <v>24</v>
      </c>
      <c r="I159" s="22">
        <v>0</v>
      </c>
      <c r="J159" s="68">
        <v>0</v>
      </c>
      <c r="K159" s="23">
        <v>0</v>
      </c>
      <c r="L159" s="24">
        <v>0</v>
      </c>
      <c r="M159" s="38">
        <v>0</v>
      </c>
      <c r="N159" s="41">
        <v>0</v>
      </c>
      <c r="O159" s="23">
        <v>0</v>
      </c>
      <c r="P159" s="22">
        <v>0</v>
      </c>
      <c r="Q159" s="24">
        <v>0</v>
      </c>
      <c r="R159" s="87">
        <f t="shared" ref="R159:R169" si="74">Q159</f>
        <v>0</v>
      </c>
      <c r="S159" s="23">
        <f t="shared" ref="S159:S169" si="75">R159</f>
        <v>0</v>
      </c>
      <c r="T159" s="39">
        <f t="shared" si="71"/>
        <v>0</v>
      </c>
      <c r="U159" s="94">
        <f t="shared" si="72"/>
        <v>0</v>
      </c>
      <c r="V159" s="38">
        <f t="shared" si="73"/>
        <v>0</v>
      </c>
      <c r="W159" s="72">
        <v>0</v>
      </c>
      <c r="X159" s="56">
        <f t="shared" ref="X159:X169" si="76">V159-W159</f>
        <v>0</v>
      </c>
    </row>
    <row r="160" spans="8:24" x14ac:dyDescent="0.25">
      <c r="H160" s="19" t="s">
        <v>25</v>
      </c>
      <c r="I160" s="22">
        <v>0</v>
      </c>
      <c r="J160" s="68">
        <v>0</v>
      </c>
      <c r="K160" s="23">
        <v>0</v>
      </c>
      <c r="L160" s="24">
        <v>0</v>
      </c>
      <c r="M160" s="38">
        <v>0</v>
      </c>
      <c r="N160" s="41">
        <v>0</v>
      </c>
      <c r="O160" s="23">
        <v>0</v>
      </c>
      <c r="P160" s="22">
        <v>0</v>
      </c>
      <c r="Q160" s="24">
        <v>0</v>
      </c>
      <c r="R160" s="87">
        <f t="shared" si="74"/>
        <v>0</v>
      </c>
      <c r="S160" s="23">
        <f t="shared" si="75"/>
        <v>0</v>
      </c>
      <c r="T160" s="39">
        <f t="shared" si="71"/>
        <v>0</v>
      </c>
      <c r="U160" s="94">
        <f t="shared" si="72"/>
        <v>0</v>
      </c>
      <c r="V160" s="38">
        <f t="shared" si="73"/>
        <v>0</v>
      </c>
      <c r="W160" s="72">
        <v>0</v>
      </c>
      <c r="X160" s="56">
        <f t="shared" si="76"/>
        <v>0</v>
      </c>
    </row>
    <row r="161" spans="8:24" x14ac:dyDescent="0.25">
      <c r="H161" s="19" t="s">
        <v>26</v>
      </c>
      <c r="I161" s="22">
        <v>0</v>
      </c>
      <c r="J161" s="68">
        <v>0</v>
      </c>
      <c r="K161" s="23">
        <v>0</v>
      </c>
      <c r="L161" s="24">
        <v>0</v>
      </c>
      <c r="M161" s="38">
        <v>0</v>
      </c>
      <c r="N161" s="41">
        <v>0</v>
      </c>
      <c r="O161" s="23">
        <v>0</v>
      </c>
      <c r="P161" s="22">
        <v>0</v>
      </c>
      <c r="Q161" s="24">
        <v>0</v>
      </c>
      <c r="R161" s="87">
        <f t="shared" si="74"/>
        <v>0</v>
      </c>
      <c r="S161" s="23">
        <f t="shared" si="75"/>
        <v>0</v>
      </c>
      <c r="T161" s="39">
        <f t="shared" si="71"/>
        <v>0</v>
      </c>
      <c r="U161" s="94">
        <f t="shared" si="72"/>
        <v>0</v>
      </c>
      <c r="V161" s="38">
        <f t="shared" si="73"/>
        <v>0</v>
      </c>
      <c r="W161" s="72">
        <v>0</v>
      </c>
      <c r="X161" s="56">
        <f t="shared" si="76"/>
        <v>0</v>
      </c>
    </row>
    <row r="162" spans="8:24" x14ac:dyDescent="0.25">
      <c r="H162" s="19" t="s">
        <v>27</v>
      </c>
      <c r="I162" s="22">
        <v>0</v>
      </c>
      <c r="J162" s="68">
        <v>0</v>
      </c>
      <c r="K162" s="23">
        <v>0</v>
      </c>
      <c r="L162" s="24">
        <v>0</v>
      </c>
      <c r="M162" s="38">
        <v>0</v>
      </c>
      <c r="N162" s="41">
        <v>0</v>
      </c>
      <c r="O162" s="23">
        <v>0</v>
      </c>
      <c r="P162" s="22">
        <v>0</v>
      </c>
      <c r="Q162" s="24">
        <v>0</v>
      </c>
      <c r="R162" s="87">
        <f t="shared" si="74"/>
        <v>0</v>
      </c>
      <c r="S162" s="23">
        <f t="shared" si="75"/>
        <v>0</v>
      </c>
      <c r="T162" s="39">
        <f t="shared" si="71"/>
        <v>0</v>
      </c>
      <c r="U162" s="94">
        <f t="shared" si="72"/>
        <v>0</v>
      </c>
      <c r="V162" s="38">
        <f t="shared" si="73"/>
        <v>0</v>
      </c>
      <c r="W162" s="72">
        <v>0</v>
      </c>
      <c r="X162" s="56">
        <f t="shared" si="76"/>
        <v>0</v>
      </c>
    </row>
    <row r="163" spans="8:24" x14ac:dyDescent="0.25">
      <c r="H163" s="19" t="s">
        <v>28</v>
      </c>
      <c r="I163" s="22">
        <f>800+480</f>
        <v>1280</v>
      </c>
      <c r="J163" s="68">
        <v>240</v>
      </c>
      <c r="K163" s="23">
        <v>0</v>
      </c>
      <c r="L163" s="24">
        <v>0</v>
      </c>
      <c r="M163" s="38">
        <v>0</v>
      </c>
      <c r="N163" s="41">
        <v>0</v>
      </c>
      <c r="O163" s="23">
        <v>0</v>
      </c>
      <c r="P163" s="22">
        <f>-27.1+36.7</f>
        <v>9.6000000000000014</v>
      </c>
      <c r="Q163" s="24">
        <f>10.4+4.8</f>
        <v>15.2</v>
      </c>
      <c r="R163" s="87">
        <f t="shared" si="74"/>
        <v>15.2</v>
      </c>
      <c r="S163" s="23">
        <f t="shared" si="75"/>
        <v>15.2</v>
      </c>
      <c r="T163" s="39">
        <f t="shared" si="71"/>
        <v>0</v>
      </c>
      <c r="U163" s="94">
        <f t="shared" si="72"/>
        <v>1520</v>
      </c>
      <c r="V163" s="38">
        <f t="shared" si="73"/>
        <v>1495.2</v>
      </c>
      <c r="W163" s="72">
        <f>1056.7+406.82</f>
        <v>1463.52</v>
      </c>
      <c r="X163" s="56">
        <f t="shared" si="76"/>
        <v>31.680000000000064</v>
      </c>
    </row>
    <row r="164" spans="8:24" x14ac:dyDescent="0.25">
      <c r="H164" s="19" t="s">
        <v>29</v>
      </c>
      <c r="I164" s="22">
        <f>800*4</f>
        <v>3200</v>
      </c>
      <c r="J164" s="68">
        <f>240+320+240+240+240</f>
        <v>1280</v>
      </c>
      <c r="K164" s="23">
        <v>0</v>
      </c>
      <c r="L164" s="24">
        <v>0</v>
      </c>
      <c r="M164" s="38">
        <v>0</v>
      </c>
      <c r="N164" s="41">
        <v>0</v>
      </c>
      <c r="O164" s="23">
        <v>0</v>
      </c>
      <c r="P164" s="22">
        <v>-9.6</v>
      </c>
      <c r="Q164" s="24">
        <f>13.6+10.4*3</f>
        <v>44.800000000000004</v>
      </c>
      <c r="R164" s="87">
        <f t="shared" si="74"/>
        <v>44.800000000000004</v>
      </c>
      <c r="S164" s="23">
        <f t="shared" si="75"/>
        <v>44.800000000000004</v>
      </c>
      <c r="T164" s="39">
        <f t="shared" si="71"/>
        <v>0</v>
      </c>
      <c r="U164" s="94">
        <f t="shared" si="72"/>
        <v>4480</v>
      </c>
      <c r="V164" s="38">
        <f t="shared" si="73"/>
        <v>4444.8</v>
      </c>
      <c r="W164" s="72">
        <f>1346.4+1029.6+1029.6+1039.2</f>
        <v>4444.8</v>
      </c>
      <c r="X164" s="56">
        <f t="shared" si="76"/>
        <v>0</v>
      </c>
    </row>
    <row r="165" spans="8:24" x14ac:dyDescent="0.25">
      <c r="H165" s="19" t="s">
        <v>30</v>
      </c>
      <c r="I165" s="22">
        <f>800*5</f>
        <v>4000</v>
      </c>
      <c r="J165" s="68">
        <f>240+240</f>
        <v>480</v>
      </c>
      <c r="K165" s="23">
        <v>0</v>
      </c>
      <c r="L165" s="24">
        <v>0</v>
      </c>
      <c r="M165" s="38">
        <v>0</v>
      </c>
      <c r="N165" s="41">
        <v>0</v>
      </c>
      <c r="O165" s="23">
        <v>0</v>
      </c>
      <c r="P165" s="22">
        <v>0</v>
      </c>
      <c r="Q165" s="24">
        <f>10.4*2+8*3</f>
        <v>44.8</v>
      </c>
      <c r="R165" s="87">
        <f t="shared" si="74"/>
        <v>44.8</v>
      </c>
      <c r="S165" s="23">
        <f t="shared" si="75"/>
        <v>44.8</v>
      </c>
      <c r="T165" s="39">
        <f t="shared" si="71"/>
        <v>0</v>
      </c>
      <c r="U165" s="94">
        <f t="shared" si="72"/>
        <v>4480</v>
      </c>
      <c r="V165" s="38">
        <f t="shared" si="73"/>
        <v>4435.2</v>
      </c>
      <c r="W165" s="72">
        <f>1029.6*2+792*3</f>
        <v>4435.2</v>
      </c>
      <c r="X165" s="56">
        <f t="shared" si="76"/>
        <v>0</v>
      </c>
    </row>
    <row r="166" spans="8:24" x14ac:dyDescent="0.25">
      <c r="H166" s="19" t="s">
        <v>31</v>
      </c>
      <c r="I166" s="22">
        <f>800*4</f>
        <v>3200</v>
      </c>
      <c r="J166" s="68">
        <v>0</v>
      </c>
      <c r="K166" s="23">
        <v>0</v>
      </c>
      <c r="L166" s="24">
        <v>0</v>
      </c>
      <c r="M166" s="38">
        <v>0</v>
      </c>
      <c r="N166" s="41">
        <v>0</v>
      </c>
      <c r="O166" s="23">
        <v>0</v>
      </c>
      <c r="P166" s="22">
        <v>0</v>
      </c>
      <c r="Q166" s="24">
        <f>8*4</f>
        <v>32</v>
      </c>
      <c r="R166" s="87">
        <f t="shared" si="74"/>
        <v>32</v>
      </c>
      <c r="S166" s="23">
        <f t="shared" si="75"/>
        <v>32</v>
      </c>
      <c r="T166" s="39">
        <f t="shared" si="71"/>
        <v>0</v>
      </c>
      <c r="U166" s="94">
        <f t="shared" si="72"/>
        <v>3200</v>
      </c>
      <c r="V166" s="38">
        <f t="shared" si="73"/>
        <v>3168</v>
      </c>
      <c r="W166" s="72">
        <f>792*2+542*2</f>
        <v>2668</v>
      </c>
      <c r="X166" s="56">
        <f t="shared" si="76"/>
        <v>500</v>
      </c>
    </row>
    <row r="167" spans="8:24" x14ac:dyDescent="0.25">
      <c r="H167" s="19" t="s">
        <v>32</v>
      </c>
      <c r="I167" s="22">
        <f>800*2</f>
        <v>1600</v>
      </c>
      <c r="J167" s="68">
        <v>0</v>
      </c>
      <c r="K167" s="23">
        <v>851.28</v>
      </c>
      <c r="L167" s="24">
        <v>1229.1300000000001</v>
      </c>
      <c r="M167" s="38">
        <v>0</v>
      </c>
      <c r="N167" s="41">
        <v>0</v>
      </c>
      <c r="O167" s="23">
        <v>0</v>
      </c>
      <c r="P167" s="22">
        <v>0</v>
      </c>
      <c r="Q167" s="24">
        <f>28.8+8</f>
        <v>36.799999999999997</v>
      </c>
      <c r="R167" s="87">
        <f t="shared" si="74"/>
        <v>36.799999999999997</v>
      </c>
      <c r="S167" s="23">
        <f t="shared" si="75"/>
        <v>36.799999999999997</v>
      </c>
      <c r="T167" s="39">
        <f t="shared" si="71"/>
        <v>0</v>
      </c>
      <c r="U167" s="94">
        <f>I167+M167+K167+L167-O167</f>
        <v>3680.41</v>
      </c>
      <c r="V167" s="38">
        <f t="shared" si="73"/>
        <v>3643.6099999999997</v>
      </c>
      <c r="W167" s="72">
        <f>2551.61+792</f>
        <v>3343.61</v>
      </c>
      <c r="X167" s="56">
        <f t="shared" si="76"/>
        <v>299.99999999999955</v>
      </c>
    </row>
    <row r="168" spans="8:24" x14ac:dyDescent="0.25">
      <c r="H168" s="19" t="s">
        <v>33</v>
      </c>
      <c r="I168" s="22">
        <f>480</f>
        <v>480</v>
      </c>
      <c r="J168" s="68">
        <v>0</v>
      </c>
      <c r="K168" s="23">
        <v>0</v>
      </c>
      <c r="L168" s="24">
        <v>0</v>
      </c>
      <c r="M168" s="38">
        <v>0</v>
      </c>
      <c r="N168" s="41">
        <v>0</v>
      </c>
      <c r="O168" s="23">
        <v>0</v>
      </c>
      <c r="P168" s="22">
        <v>0</v>
      </c>
      <c r="Q168" s="24">
        <v>4.8</v>
      </c>
      <c r="R168" s="87">
        <f t="shared" si="74"/>
        <v>4.8</v>
      </c>
      <c r="S168" s="23">
        <f t="shared" si="75"/>
        <v>4.8</v>
      </c>
      <c r="T168" s="39">
        <f t="shared" si="71"/>
        <v>0</v>
      </c>
      <c r="U168" s="94">
        <f>I168+M168-O168</f>
        <v>480</v>
      </c>
      <c r="V168" s="38">
        <f t="shared" si="73"/>
        <v>475.2</v>
      </c>
      <c r="W168" s="72">
        <v>475.2</v>
      </c>
      <c r="X168" s="56">
        <f t="shared" si="76"/>
        <v>0</v>
      </c>
    </row>
    <row r="169" spans="8:24" ht="15.75" thickBot="1" x14ac:dyDescent="0.3">
      <c r="H169" s="20" t="s">
        <v>34</v>
      </c>
      <c r="I169" s="26">
        <v>0</v>
      </c>
      <c r="J169" s="69">
        <v>0</v>
      </c>
      <c r="K169" s="27">
        <v>0</v>
      </c>
      <c r="L169" s="28">
        <v>0</v>
      </c>
      <c r="M169" s="38">
        <v>0</v>
      </c>
      <c r="N169" s="43">
        <v>0</v>
      </c>
      <c r="O169" s="27">
        <v>0</v>
      </c>
      <c r="P169" s="26">
        <v>0</v>
      </c>
      <c r="Q169" s="28">
        <v>0</v>
      </c>
      <c r="R169" s="80">
        <f t="shared" si="74"/>
        <v>0</v>
      </c>
      <c r="S169" s="27">
        <f t="shared" si="75"/>
        <v>0</v>
      </c>
      <c r="T169" s="39">
        <f t="shared" si="71"/>
        <v>0</v>
      </c>
      <c r="U169" s="53">
        <f>I169+M169-O169</f>
        <v>0</v>
      </c>
      <c r="V169" s="42">
        <f t="shared" si="73"/>
        <v>0</v>
      </c>
      <c r="W169" s="73">
        <v>0</v>
      </c>
      <c r="X169" s="56">
        <f t="shared" si="76"/>
        <v>0</v>
      </c>
    </row>
    <row r="170" spans="8:24" ht="15.75" thickBot="1" x14ac:dyDescent="0.3">
      <c r="I170" s="29">
        <f t="shared" ref="I170" si="77">SUM(I158:I169)</f>
        <v>13760</v>
      </c>
      <c r="J170" s="59">
        <f>SUM(J158:J169)</f>
        <v>2000</v>
      </c>
      <c r="K170" s="30">
        <f>SUM(K158:K169)</f>
        <v>851.28</v>
      </c>
      <c r="L170" s="31">
        <f t="shared" ref="L170:V170" si="78">SUM(L158:L169)</f>
        <v>1229.1300000000001</v>
      </c>
      <c r="M170" s="29">
        <f t="shared" si="78"/>
        <v>0</v>
      </c>
      <c r="N170" s="44">
        <f t="shared" si="78"/>
        <v>0</v>
      </c>
      <c r="O170" s="30">
        <f t="shared" si="78"/>
        <v>0</v>
      </c>
      <c r="P170" s="37">
        <f t="shared" si="78"/>
        <v>1.7763568394002505E-15</v>
      </c>
      <c r="Q170" s="31">
        <f t="shared" si="78"/>
        <v>178.40000000000003</v>
      </c>
      <c r="R170" s="81">
        <f t="shared" si="78"/>
        <v>178.40000000000003</v>
      </c>
      <c r="S170" s="66">
        <f t="shared" si="78"/>
        <v>178.40000000000003</v>
      </c>
      <c r="T170" s="44">
        <f t="shared" si="78"/>
        <v>0</v>
      </c>
      <c r="U170" s="54">
        <f t="shared" si="78"/>
        <v>17840.41</v>
      </c>
      <c r="V170" s="55">
        <f t="shared" si="78"/>
        <v>17662.010000000002</v>
      </c>
      <c r="W170" s="74">
        <f>SUM(W158:W169)</f>
        <v>16830.330000000002</v>
      </c>
      <c r="X170" s="75"/>
    </row>
    <row r="171" spans="8:24" ht="15.75" thickBot="1" x14ac:dyDescent="0.3">
      <c r="I171" s="150">
        <f>SUM(I170:J170)</f>
        <v>15760</v>
      </c>
      <c r="J171" s="151"/>
      <c r="K171" s="152">
        <f>SUM(K170:L170)</f>
        <v>2080.41</v>
      </c>
      <c r="L171" s="153"/>
      <c r="M171" s="50">
        <v>3810</v>
      </c>
      <c r="P171" s="50">
        <v>4102</v>
      </c>
      <c r="Q171" s="163">
        <f>SUM(Q170:R170)</f>
        <v>356.80000000000007</v>
      </c>
      <c r="R171" s="164"/>
      <c r="U171" s="50">
        <v>3698</v>
      </c>
    </row>
    <row r="172" spans="8:24" x14ac:dyDescent="0.25">
      <c r="I172" s="160">
        <v>3601</v>
      </c>
      <c r="J172" s="160"/>
      <c r="K172" s="161">
        <v>3605</v>
      </c>
      <c r="L172" s="161"/>
      <c r="Q172" s="162">
        <v>4141</v>
      </c>
      <c r="R172" s="162"/>
    </row>
    <row r="174" spans="8:24" ht="16.5" thickBot="1" x14ac:dyDescent="0.3">
      <c r="H174" s="46" t="s">
        <v>60</v>
      </c>
      <c r="I174" s="12"/>
      <c r="J174" s="12"/>
      <c r="K174" s="12"/>
    </row>
    <row r="175" spans="8:24" ht="16.5" thickBot="1" x14ac:dyDescent="0.3">
      <c r="H175" s="12"/>
      <c r="I175" s="142" t="s">
        <v>36</v>
      </c>
      <c r="J175" s="144"/>
      <c r="K175" s="144"/>
      <c r="L175" s="143"/>
      <c r="M175" s="142" t="s">
        <v>37</v>
      </c>
      <c r="N175" s="143"/>
      <c r="O175" s="142" t="s">
        <v>38</v>
      </c>
      <c r="P175" s="144"/>
      <c r="Q175" s="143"/>
      <c r="R175" s="142" t="s">
        <v>41</v>
      </c>
      <c r="S175" s="144"/>
      <c r="T175" s="143"/>
      <c r="U175" s="136" t="s">
        <v>39</v>
      </c>
      <c r="V175" s="154" t="s">
        <v>42</v>
      </c>
      <c r="W175" s="156" t="s">
        <v>43</v>
      </c>
      <c r="X175" s="158" t="s">
        <v>44</v>
      </c>
    </row>
    <row r="176" spans="8:24" ht="15.75" thickBot="1" x14ac:dyDescent="0.3">
      <c r="H176" s="45" t="s">
        <v>22</v>
      </c>
      <c r="I176" s="14" t="s">
        <v>18</v>
      </c>
      <c r="J176" s="76" t="s">
        <v>49</v>
      </c>
      <c r="K176" s="15" t="s">
        <v>48</v>
      </c>
      <c r="L176" s="35" t="s">
        <v>35</v>
      </c>
      <c r="M176" s="14" t="s">
        <v>20</v>
      </c>
      <c r="N176" s="16" t="s">
        <v>45</v>
      </c>
      <c r="O176" s="15" t="s">
        <v>19</v>
      </c>
      <c r="P176" s="36" t="s">
        <v>12</v>
      </c>
      <c r="Q176" s="35" t="s">
        <v>13</v>
      </c>
      <c r="R176" s="90" t="s">
        <v>13</v>
      </c>
      <c r="S176" s="88" t="s">
        <v>40</v>
      </c>
      <c r="T176" s="16" t="s">
        <v>19</v>
      </c>
      <c r="U176" s="137"/>
      <c r="V176" s="155"/>
      <c r="W176" s="157"/>
      <c r="X176" s="159"/>
    </row>
    <row r="177" spans="8:24" x14ac:dyDescent="0.25">
      <c r="H177" s="18" t="s">
        <v>23</v>
      </c>
      <c r="I177" s="32">
        <v>0</v>
      </c>
      <c r="J177" s="57">
        <v>0</v>
      </c>
      <c r="K177" s="23">
        <v>0</v>
      </c>
      <c r="L177" s="24">
        <v>0</v>
      </c>
      <c r="M177" s="38">
        <v>0</v>
      </c>
      <c r="N177" s="39">
        <v>0</v>
      </c>
      <c r="O177" s="33">
        <v>0</v>
      </c>
      <c r="P177" s="32">
        <v>0</v>
      </c>
      <c r="Q177" s="34">
        <v>0</v>
      </c>
      <c r="R177" s="86">
        <f>Q177</f>
        <v>0</v>
      </c>
      <c r="S177" s="33">
        <f>R177</f>
        <v>0</v>
      </c>
      <c r="T177" s="39">
        <f t="shared" ref="T177:T188" si="79">O177</f>
        <v>0</v>
      </c>
      <c r="U177" s="94">
        <f t="shared" ref="U177:U185" si="80">I177+J177+M177-O177</f>
        <v>0</v>
      </c>
      <c r="V177" s="38">
        <f t="shared" ref="V177:V188" si="81">SUM(I177:L177)+N177-SUM(O177:Q177)</f>
        <v>0</v>
      </c>
      <c r="W177" s="71">
        <v>0</v>
      </c>
      <c r="X177" s="78">
        <f>V177-W177</f>
        <v>0</v>
      </c>
    </row>
    <row r="178" spans="8:24" x14ac:dyDescent="0.25">
      <c r="H178" s="19" t="s">
        <v>24</v>
      </c>
      <c r="I178" s="22">
        <v>0</v>
      </c>
      <c r="J178" s="68">
        <v>0</v>
      </c>
      <c r="K178" s="23">
        <v>0</v>
      </c>
      <c r="L178" s="24">
        <v>0</v>
      </c>
      <c r="M178" s="38">
        <v>0</v>
      </c>
      <c r="N178" s="41">
        <v>0</v>
      </c>
      <c r="O178" s="23">
        <v>0</v>
      </c>
      <c r="P178" s="22">
        <v>0</v>
      </c>
      <c r="Q178" s="24">
        <v>0</v>
      </c>
      <c r="R178" s="87">
        <f t="shared" ref="R178:R188" si="82">Q178</f>
        <v>0</v>
      </c>
      <c r="S178" s="23">
        <f t="shared" ref="S178:S188" si="83">R178</f>
        <v>0</v>
      </c>
      <c r="T178" s="39">
        <f t="shared" si="79"/>
        <v>0</v>
      </c>
      <c r="U178" s="94">
        <f t="shared" si="80"/>
        <v>0</v>
      </c>
      <c r="V178" s="38">
        <f t="shared" si="81"/>
        <v>0</v>
      </c>
      <c r="W178" s="72">
        <v>0</v>
      </c>
      <c r="X178" s="56">
        <f t="shared" ref="X178:X188" si="84">V178-W178</f>
        <v>0</v>
      </c>
    </row>
    <row r="179" spans="8:24" x14ac:dyDescent="0.25">
      <c r="H179" s="19" t="s">
        <v>25</v>
      </c>
      <c r="I179" s="22">
        <v>0</v>
      </c>
      <c r="J179" s="68">
        <v>0</v>
      </c>
      <c r="K179" s="23">
        <v>0</v>
      </c>
      <c r="L179" s="24">
        <v>0</v>
      </c>
      <c r="M179" s="38">
        <v>0</v>
      </c>
      <c r="N179" s="41">
        <v>0</v>
      </c>
      <c r="O179" s="23">
        <v>0</v>
      </c>
      <c r="P179" s="22">
        <v>0</v>
      </c>
      <c r="Q179" s="24">
        <v>0</v>
      </c>
      <c r="R179" s="87">
        <f t="shared" si="82"/>
        <v>0</v>
      </c>
      <c r="S179" s="23">
        <f t="shared" si="83"/>
        <v>0</v>
      </c>
      <c r="T179" s="39">
        <f t="shared" si="79"/>
        <v>0</v>
      </c>
      <c r="U179" s="94">
        <f t="shared" si="80"/>
        <v>0</v>
      </c>
      <c r="V179" s="38">
        <f t="shared" si="81"/>
        <v>0</v>
      </c>
      <c r="W179" s="72"/>
      <c r="X179" s="56">
        <f t="shared" si="84"/>
        <v>0</v>
      </c>
    </row>
    <row r="180" spans="8:24" x14ac:dyDescent="0.25">
      <c r="H180" s="19" t="s">
        <v>26</v>
      </c>
      <c r="I180" s="22">
        <v>0</v>
      </c>
      <c r="J180" s="68">
        <v>0</v>
      </c>
      <c r="K180" s="23">
        <v>0</v>
      </c>
      <c r="L180" s="24">
        <v>0</v>
      </c>
      <c r="M180" s="38">
        <v>0</v>
      </c>
      <c r="N180" s="41">
        <v>0</v>
      </c>
      <c r="O180" s="23">
        <v>0</v>
      </c>
      <c r="P180" s="22">
        <v>0</v>
      </c>
      <c r="Q180" s="24">
        <v>0</v>
      </c>
      <c r="R180" s="87">
        <f t="shared" si="82"/>
        <v>0</v>
      </c>
      <c r="S180" s="23">
        <f t="shared" si="83"/>
        <v>0</v>
      </c>
      <c r="T180" s="39">
        <f t="shared" si="79"/>
        <v>0</v>
      </c>
      <c r="U180" s="94">
        <f t="shared" si="80"/>
        <v>0</v>
      </c>
      <c r="V180" s="38">
        <f t="shared" si="81"/>
        <v>0</v>
      </c>
      <c r="W180" s="72">
        <v>0</v>
      </c>
      <c r="X180" s="56">
        <f t="shared" si="84"/>
        <v>0</v>
      </c>
    </row>
    <row r="181" spans="8:24" x14ac:dyDescent="0.25">
      <c r="H181" s="19" t="s">
        <v>27</v>
      </c>
      <c r="I181" s="22">
        <v>0</v>
      </c>
      <c r="J181" s="68">
        <v>0</v>
      </c>
      <c r="K181" s="23">
        <v>0</v>
      </c>
      <c r="L181" s="24">
        <v>0</v>
      </c>
      <c r="M181" s="38">
        <v>0</v>
      </c>
      <c r="N181" s="41">
        <v>0</v>
      </c>
      <c r="O181" s="23">
        <v>0</v>
      </c>
      <c r="P181" s="22">
        <v>0</v>
      </c>
      <c r="Q181" s="24">
        <v>0</v>
      </c>
      <c r="R181" s="87">
        <f t="shared" si="82"/>
        <v>0</v>
      </c>
      <c r="S181" s="23">
        <f t="shared" si="83"/>
        <v>0</v>
      </c>
      <c r="T181" s="39">
        <f t="shared" si="79"/>
        <v>0</v>
      </c>
      <c r="U181" s="94">
        <f t="shared" si="80"/>
        <v>0</v>
      </c>
      <c r="V181" s="38">
        <f t="shared" si="81"/>
        <v>0</v>
      </c>
      <c r="W181" s="72">
        <v>0</v>
      </c>
      <c r="X181" s="56">
        <f t="shared" si="84"/>
        <v>0</v>
      </c>
    </row>
    <row r="182" spans="8:24" x14ac:dyDescent="0.25">
      <c r="H182" s="19" t="s">
        <v>28</v>
      </c>
      <c r="I182" s="22">
        <v>480</v>
      </c>
      <c r="J182" s="68">
        <v>0</v>
      </c>
      <c r="K182" s="23">
        <v>0</v>
      </c>
      <c r="L182" s="24">
        <v>0</v>
      </c>
      <c r="M182" s="38">
        <v>0</v>
      </c>
      <c r="N182" s="41">
        <v>0</v>
      </c>
      <c r="O182" s="23">
        <v>0</v>
      </c>
      <c r="P182" s="22">
        <v>0</v>
      </c>
      <c r="Q182" s="24">
        <v>4.8</v>
      </c>
      <c r="R182" s="87">
        <f t="shared" si="82"/>
        <v>4.8</v>
      </c>
      <c r="S182" s="23">
        <f t="shared" si="83"/>
        <v>4.8</v>
      </c>
      <c r="T182" s="39">
        <f t="shared" si="79"/>
        <v>0</v>
      </c>
      <c r="U182" s="94">
        <f t="shared" si="80"/>
        <v>480</v>
      </c>
      <c r="V182" s="38">
        <f t="shared" si="81"/>
        <v>475.2</v>
      </c>
      <c r="W182" s="72">
        <v>475.2</v>
      </c>
      <c r="X182" s="56">
        <f t="shared" si="84"/>
        <v>0</v>
      </c>
    </row>
    <row r="183" spans="8:24" x14ac:dyDescent="0.25">
      <c r="H183" s="19" t="s">
        <v>29</v>
      </c>
      <c r="I183" s="22">
        <f>800*4</f>
        <v>3200</v>
      </c>
      <c r="J183" s="68">
        <f>240+320+240+75+240</f>
        <v>1115</v>
      </c>
      <c r="K183" s="23">
        <v>0</v>
      </c>
      <c r="L183" s="24">
        <v>0</v>
      </c>
      <c r="M183" s="38">
        <v>0</v>
      </c>
      <c r="N183" s="41">
        <v>0</v>
      </c>
      <c r="O183" s="23">
        <v>0</v>
      </c>
      <c r="P183" s="22">
        <v>0</v>
      </c>
      <c r="Q183" s="24">
        <f>13.6+10.4+8.75+10.4</f>
        <v>43.15</v>
      </c>
      <c r="R183" s="87">
        <f t="shared" si="82"/>
        <v>43.15</v>
      </c>
      <c r="S183" s="23">
        <f t="shared" si="83"/>
        <v>43.15</v>
      </c>
      <c r="T183" s="39">
        <f t="shared" si="79"/>
        <v>0</v>
      </c>
      <c r="U183" s="94">
        <f t="shared" si="80"/>
        <v>4315</v>
      </c>
      <c r="V183" s="38">
        <f t="shared" si="81"/>
        <v>4271.8500000000004</v>
      </c>
      <c r="W183" s="72">
        <f>1346.4+1029.6+866.25+1029.6</f>
        <v>4271.8500000000004</v>
      </c>
      <c r="X183" s="56">
        <f t="shared" si="84"/>
        <v>0</v>
      </c>
    </row>
    <row r="184" spans="8:24" x14ac:dyDescent="0.25">
      <c r="H184" s="19" t="s">
        <v>30</v>
      </c>
      <c r="I184" s="22">
        <f>800*5</f>
        <v>4000</v>
      </c>
      <c r="J184" s="68">
        <v>240</v>
      </c>
      <c r="K184" s="23">
        <v>0</v>
      </c>
      <c r="L184" s="24">
        <v>0</v>
      </c>
      <c r="M184" s="38">
        <v>0</v>
      </c>
      <c r="N184" s="41">
        <v>0</v>
      </c>
      <c r="O184" s="23">
        <v>0</v>
      </c>
      <c r="P184" s="22">
        <v>0</v>
      </c>
      <c r="Q184" s="24">
        <f>8*4+10.4</f>
        <v>42.4</v>
      </c>
      <c r="R184" s="87">
        <f t="shared" si="82"/>
        <v>42.4</v>
      </c>
      <c r="S184" s="23">
        <f t="shared" si="83"/>
        <v>42.4</v>
      </c>
      <c r="T184" s="39">
        <f t="shared" si="79"/>
        <v>0</v>
      </c>
      <c r="U184" s="94">
        <f t="shared" si="80"/>
        <v>4240</v>
      </c>
      <c r="V184" s="38">
        <f t="shared" si="81"/>
        <v>4197.6000000000004</v>
      </c>
      <c r="W184" s="72">
        <f>792*4+1029.6</f>
        <v>4197.6000000000004</v>
      </c>
      <c r="X184" s="56">
        <f t="shared" si="84"/>
        <v>0</v>
      </c>
    </row>
    <row r="185" spans="8:24" x14ac:dyDescent="0.25">
      <c r="H185" s="19" t="s">
        <v>31</v>
      </c>
      <c r="I185" s="22">
        <f>800*4</f>
        <v>3200</v>
      </c>
      <c r="J185" s="68">
        <f>240*2</f>
        <v>480</v>
      </c>
      <c r="K185" s="23">
        <v>0</v>
      </c>
      <c r="L185" s="24">
        <v>0</v>
      </c>
      <c r="M185" s="38">
        <v>0</v>
      </c>
      <c r="N185" s="41">
        <v>0</v>
      </c>
      <c r="O185" s="23">
        <v>0</v>
      </c>
      <c r="P185" s="22">
        <v>0</v>
      </c>
      <c r="Q185" s="24">
        <f>8*2+10.4*2</f>
        <v>36.799999999999997</v>
      </c>
      <c r="R185" s="87">
        <f t="shared" si="82"/>
        <v>36.799999999999997</v>
      </c>
      <c r="S185" s="23">
        <f t="shared" si="83"/>
        <v>36.799999999999997</v>
      </c>
      <c r="T185" s="39">
        <f t="shared" si="79"/>
        <v>0</v>
      </c>
      <c r="U185" s="94">
        <f t="shared" si="80"/>
        <v>3680</v>
      </c>
      <c r="V185" s="38">
        <f t="shared" si="81"/>
        <v>3643.2</v>
      </c>
      <c r="W185" s="72">
        <f>792*2+1029.6*2</f>
        <v>3643.2</v>
      </c>
      <c r="X185" s="56">
        <f t="shared" si="84"/>
        <v>0</v>
      </c>
    </row>
    <row r="186" spans="8:24" x14ac:dyDescent="0.25">
      <c r="H186" s="19" t="s">
        <v>32</v>
      </c>
      <c r="I186" s="22">
        <f>800*2</f>
        <v>1600</v>
      </c>
      <c r="J186" s="68">
        <v>0</v>
      </c>
      <c r="K186" s="23">
        <v>697.44</v>
      </c>
      <c r="L186" s="24">
        <v>1007</v>
      </c>
      <c r="M186" s="38">
        <v>0</v>
      </c>
      <c r="N186" s="41">
        <v>0</v>
      </c>
      <c r="O186" s="23">
        <v>0</v>
      </c>
      <c r="P186" s="22">
        <v>0</v>
      </c>
      <c r="Q186" s="24">
        <f>25.04+8</f>
        <v>33.04</v>
      </c>
      <c r="R186" s="87">
        <f t="shared" si="82"/>
        <v>33.04</v>
      </c>
      <c r="S186" s="23">
        <f t="shared" si="83"/>
        <v>33.04</v>
      </c>
      <c r="T186" s="39">
        <f t="shared" si="79"/>
        <v>0</v>
      </c>
      <c r="U186" s="94">
        <f>I186+M186+K186+L186-O186</f>
        <v>3304.44</v>
      </c>
      <c r="V186" s="38">
        <f t="shared" si="81"/>
        <v>3271.4</v>
      </c>
      <c r="W186" s="72">
        <f>2479.4+792</f>
        <v>3271.4</v>
      </c>
      <c r="X186" s="56">
        <f t="shared" si="84"/>
        <v>0</v>
      </c>
    </row>
    <row r="187" spans="8:24" x14ac:dyDescent="0.25">
      <c r="H187" s="19" t="s">
        <v>33</v>
      </c>
      <c r="I187" s="22">
        <f>800*3+480</f>
        <v>2880</v>
      </c>
      <c r="J187" s="68">
        <v>0</v>
      </c>
      <c r="K187" s="23">
        <v>0</v>
      </c>
      <c r="L187" s="24">
        <v>0</v>
      </c>
      <c r="M187" s="38">
        <v>0</v>
      </c>
      <c r="N187" s="41">
        <v>0</v>
      </c>
      <c r="O187" s="23">
        <v>0</v>
      </c>
      <c r="P187" s="22">
        <v>0</v>
      </c>
      <c r="Q187" s="24">
        <f>8*3+4.8</f>
        <v>28.8</v>
      </c>
      <c r="R187" s="87">
        <f t="shared" si="82"/>
        <v>28.8</v>
      </c>
      <c r="S187" s="23">
        <f t="shared" si="83"/>
        <v>28.8</v>
      </c>
      <c r="T187" s="39">
        <f t="shared" si="79"/>
        <v>0</v>
      </c>
      <c r="U187" s="94">
        <f>I187+M187-O187</f>
        <v>2880</v>
      </c>
      <c r="V187" s="38">
        <f t="shared" si="81"/>
        <v>2851.2</v>
      </c>
      <c r="W187" s="72">
        <f>792*3+475.2</f>
        <v>2851.2</v>
      </c>
      <c r="X187" s="56">
        <f t="shared" si="84"/>
        <v>0</v>
      </c>
    </row>
    <row r="188" spans="8:24" ht="15.75" thickBot="1" x14ac:dyDescent="0.3">
      <c r="H188" s="20" t="s">
        <v>34</v>
      </c>
      <c r="I188" s="26">
        <f>800*4</f>
        <v>3200</v>
      </c>
      <c r="J188" s="69">
        <v>0</v>
      </c>
      <c r="K188" s="27">
        <v>0</v>
      </c>
      <c r="L188" s="28">
        <v>0</v>
      </c>
      <c r="M188" s="38">
        <v>0</v>
      </c>
      <c r="N188" s="43">
        <v>0</v>
      </c>
      <c r="O188" s="27">
        <v>0</v>
      </c>
      <c r="P188" s="26">
        <v>0</v>
      </c>
      <c r="Q188" s="28">
        <f>8*4</f>
        <v>32</v>
      </c>
      <c r="R188" s="80">
        <f t="shared" si="82"/>
        <v>32</v>
      </c>
      <c r="S188" s="27">
        <f t="shared" si="83"/>
        <v>32</v>
      </c>
      <c r="T188" s="39">
        <f t="shared" si="79"/>
        <v>0</v>
      </c>
      <c r="U188" s="53">
        <f>I188+M188-O188</f>
        <v>3200</v>
      </c>
      <c r="V188" s="42">
        <f t="shared" si="81"/>
        <v>3168</v>
      </c>
      <c r="W188" s="73">
        <f>792*4</f>
        <v>3168</v>
      </c>
      <c r="X188" s="56">
        <f t="shared" si="84"/>
        <v>0</v>
      </c>
    </row>
    <row r="189" spans="8:24" ht="15.75" thickBot="1" x14ac:dyDescent="0.3">
      <c r="I189" s="29">
        <f t="shared" ref="I189" si="85">SUM(I177:I188)</f>
        <v>18560</v>
      </c>
      <c r="J189" s="59">
        <f>SUM(J177:J188)</f>
        <v>1835</v>
      </c>
      <c r="K189" s="30">
        <f>SUM(K177:K188)</f>
        <v>697.44</v>
      </c>
      <c r="L189" s="31">
        <f t="shared" ref="L189:V189" si="86">SUM(L177:L188)</f>
        <v>1007</v>
      </c>
      <c r="M189" s="29">
        <f t="shared" si="86"/>
        <v>0</v>
      </c>
      <c r="N189" s="44">
        <f t="shared" si="86"/>
        <v>0</v>
      </c>
      <c r="O189" s="30">
        <f t="shared" si="86"/>
        <v>0</v>
      </c>
      <c r="P189" s="37">
        <f t="shared" si="86"/>
        <v>0</v>
      </c>
      <c r="Q189" s="31">
        <f t="shared" si="86"/>
        <v>220.99</v>
      </c>
      <c r="R189" s="81">
        <f t="shared" si="86"/>
        <v>220.99</v>
      </c>
      <c r="S189" s="66">
        <f t="shared" si="86"/>
        <v>220.99</v>
      </c>
      <c r="T189" s="44">
        <f t="shared" si="86"/>
        <v>0</v>
      </c>
      <c r="U189" s="54">
        <f t="shared" si="86"/>
        <v>22099.440000000002</v>
      </c>
      <c r="V189" s="55">
        <f t="shared" si="86"/>
        <v>21878.45</v>
      </c>
      <c r="W189" s="74">
        <f>SUM(W177:W188)</f>
        <v>21878.45</v>
      </c>
      <c r="X189" s="75"/>
    </row>
    <row r="190" spans="8:24" ht="15.75" thickBot="1" x14ac:dyDescent="0.3">
      <c r="I190" s="150">
        <f>SUM(I189:J189)</f>
        <v>20395</v>
      </c>
      <c r="J190" s="151"/>
      <c r="K190" s="152">
        <f>SUM(K189:L189)</f>
        <v>1704.44</v>
      </c>
      <c r="L190" s="153"/>
      <c r="M190" s="50">
        <v>3810</v>
      </c>
      <c r="P190" s="50">
        <v>4102</v>
      </c>
      <c r="Q190" s="163">
        <f>SUM(Q189:R189)</f>
        <v>441.98</v>
      </c>
      <c r="R190" s="164"/>
      <c r="U190" s="50">
        <v>3698</v>
      </c>
    </row>
    <row r="191" spans="8:24" x14ac:dyDescent="0.25">
      <c r="I191" s="160">
        <v>3601</v>
      </c>
      <c r="J191" s="160"/>
      <c r="K191" s="161">
        <v>3605</v>
      </c>
      <c r="L191" s="161"/>
      <c r="Q191" s="162">
        <v>4141</v>
      </c>
      <c r="R191" s="162"/>
    </row>
  </sheetData>
  <mergeCells count="163">
    <mergeCell ref="U4:U5"/>
    <mergeCell ref="V4:V5"/>
    <mergeCell ref="W4:W5"/>
    <mergeCell ref="Q20:R20"/>
    <mergeCell ref="T4:T5"/>
    <mergeCell ref="S4:S5"/>
    <mergeCell ref="Z23:Z24"/>
    <mergeCell ref="AA23:AA24"/>
    <mergeCell ref="R38:S38"/>
    <mergeCell ref="S23:V23"/>
    <mergeCell ref="W23:W24"/>
    <mergeCell ref="F8:F9"/>
    <mergeCell ref="F10:F11"/>
    <mergeCell ref="F12:F13"/>
    <mergeCell ref="F14:F15"/>
    <mergeCell ref="F16:F17"/>
    <mergeCell ref="O19:P19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F26:F27"/>
    <mergeCell ref="F4:F5"/>
    <mergeCell ref="F6:F7"/>
    <mergeCell ref="AB34:AB35"/>
    <mergeCell ref="I42:L42"/>
    <mergeCell ref="S42:S43"/>
    <mergeCell ref="T42:T43"/>
    <mergeCell ref="U42:U43"/>
    <mergeCell ref="V42:V43"/>
    <mergeCell ref="K38:L38"/>
    <mergeCell ref="F18:F19"/>
    <mergeCell ref="F20:F21"/>
    <mergeCell ref="F22:F23"/>
    <mergeCell ref="F24:F25"/>
    <mergeCell ref="I23:L23"/>
    <mergeCell ref="R39:S39"/>
    <mergeCell ref="X23:X24"/>
    <mergeCell ref="Y23:Y24"/>
    <mergeCell ref="O57:P57"/>
    <mergeCell ref="O58:P58"/>
    <mergeCell ref="M42:O42"/>
    <mergeCell ref="P42:R42"/>
    <mergeCell ref="I4:J4"/>
    <mergeCell ref="M4:O4"/>
    <mergeCell ref="P4:R4"/>
    <mergeCell ref="O20:P20"/>
    <mergeCell ref="K4:L4"/>
    <mergeCell ref="O23:R23"/>
    <mergeCell ref="I39:J39"/>
    <mergeCell ref="I38:J38"/>
    <mergeCell ref="K39:L39"/>
    <mergeCell ref="M23:N23"/>
    <mergeCell ref="I57:J57"/>
    <mergeCell ref="K57:L57"/>
    <mergeCell ref="I58:J58"/>
    <mergeCell ref="K58:L58"/>
    <mergeCell ref="U80:U81"/>
    <mergeCell ref="V80:V81"/>
    <mergeCell ref="W80:W81"/>
    <mergeCell ref="X80:X81"/>
    <mergeCell ref="Q95:R95"/>
    <mergeCell ref="Q77:R77"/>
    <mergeCell ref="O61:Q61"/>
    <mergeCell ref="R61:T61"/>
    <mergeCell ref="I80:L80"/>
    <mergeCell ref="M80:N80"/>
    <mergeCell ref="O80:Q80"/>
    <mergeCell ref="R80:T80"/>
    <mergeCell ref="I61:L61"/>
    <mergeCell ref="M61:N61"/>
    <mergeCell ref="I77:J77"/>
    <mergeCell ref="K77:L77"/>
    <mergeCell ref="U61:U62"/>
    <mergeCell ref="V61:V62"/>
    <mergeCell ref="W61:W62"/>
    <mergeCell ref="X61:X62"/>
    <mergeCell ref="Q76:R76"/>
    <mergeCell ref="I76:J76"/>
    <mergeCell ref="K76:L76"/>
    <mergeCell ref="I95:J95"/>
    <mergeCell ref="U99:U100"/>
    <mergeCell ref="V99:V100"/>
    <mergeCell ref="V118:V119"/>
    <mergeCell ref="W99:W100"/>
    <mergeCell ref="X99:X100"/>
    <mergeCell ref="Q114:R114"/>
    <mergeCell ref="Q96:R96"/>
    <mergeCell ref="I99:L99"/>
    <mergeCell ref="M99:N99"/>
    <mergeCell ref="O99:Q99"/>
    <mergeCell ref="R99:T99"/>
    <mergeCell ref="I96:J96"/>
    <mergeCell ref="Q190:R190"/>
    <mergeCell ref="Q191:R191"/>
    <mergeCell ref="I175:L175"/>
    <mergeCell ref="M175:N175"/>
    <mergeCell ref="O175:Q175"/>
    <mergeCell ref="R175:T175"/>
    <mergeCell ref="U175:U176"/>
    <mergeCell ref="V156:V157"/>
    <mergeCell ref="W156:W157"/>
    <mergeCell ref="Q171:R171"/>
    <mergeCell ref="Q172:R172"/>
    <mergeCell ref="I156:L156"/>
    <mergeCell ref="M156:N156"/>
    <mergeCell ref="O156:Q156"/>
    <mergeCell ref="R156:T156"/>
    <mergeCell ref="U156:U157"/>
    <mergeCell ref="V175:V176"/>
    <mergeCell ref="W175:W176"/>
    <mergeCell ref="X175:X176"/>
    <mergeCell ref="X156:X157"/>
    <mergeCell ref="V137:V138"/>
    <mergeCell ref="W137:W138"/>
    <mergeCell ref="X137:X138"/>
    <mergeCell ref="Q152:R152"/>
    <mergeCell ref="Q153:R153"/>
    <mergeCell ref="I137:L137"/>
    <mergeCell ref="M137:N137"/>
    <mergeCell ref="O137:Q137"/>
    <mergeCell ref="R137:T137"/>
    <mergeCell ref="U137:U138"/>
    <mergeCell ref="W118:W119"/>
    <mergeCell ref="X118:X119"/>
    <mergeCell ref="Q133:R133"/>
    <mergeCell ref="I115:J115"/>
    <mergeCell ref="K115:L115"/>
    <mergeCell ref="I133:J133"/>
    <mergeCell ref="K133:L133"/>
    <mergeCell ref="I134:J134"/>
    <mergeCell ref="K134:L134"/>
    <mergeCell ref="Q134:R134"/>
    <mergeCell ref="I118:L118"/>
    <mergeCell ref="M118:N118"/>
    <mergeCell ref="O118:Q118"/>
    <mergeCell ref="R118:T118"/>
    <mergeCell ref="U118:U119"/>
    <mergeCell ref="Q115:R115"/>
    <mergeCell ref="K95:L95"/>
    <mergeCell ref="K96:L96"/>
    <mergeCell ref="I114:J114"/>
    <mergeCell ref="K114:L114"/>
    <mergeCell ref="I172:J172"/>
    <mergeCell ref="K172:L172"/>
    <mergeCell ref="I190:J190"/>
    <mergeCell ref="K190:L190"/>
    <mergeCell ref="I191:J191"/>
    <mergeCell ref="K191:L191"/>
    <mergeCell ref="I152:J152"/>
    <mergeCell ref="K152:L152"/>
    <mergeCell ref="I153:J153"/>
    <mergeCell ref="K153:L153"/>
    <mergeCell ref="I171:J171"/>
    <mergeCell ref="K171:L171"/>
  </mergeCells>
  <pageMargins left="0.31496062992125984" right="0.31496062992125984" top="0.35433070866141736" bottom="0.35433070866141736" header="0.31496062992125984" footer="0.31496062992125984"/>
  <pageSetup paperSize="9" scale="7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2014</vt:lpstr>
      <vt:lpstr>2013</vt:lpstr>
      <vt:lpstr>'2013'!Print_Area</vt:lpstr>
      <vt:lpstr>'2014'!Print_Area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2014-06-12T13:32:17Z</cp:lastPrinted>
  <dcterms:created xsi:type="dcterms:W3CDTF">2013-11-13T11:49:46Z</dcterms:created>
  <dcterms:modified xsi:type="dcterms:W3CDTF">2014-06-13T12:05:39Z</dcterms:modified>
</cp:coreProperties>
</file>